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2995" windowHeight="10050"/>
  </bookViews>
  <sheets>
    <sheet name="Urban" sheetId="1" r:id="rId1"/>
    <sheet name="Rural" sheetId="2" r:id="rId2"/>
    <sheet name="Regional Planning" sheetId="3" r:id="rId3"/>
    <sheet name="Staffing" sheetId="4" r:id="rId4"/>
  </sheets>
  <definedNames>
    <definedName name="_xlnm.Print_Area" localSheetId="1">Rural!$A$1:$S$116</definedName>
    <definedName name="_xlnm.Print_Titles" localSheetId="1">Rural!$1:$2</definedName>
    <definedName name="_xlnm.Print_Titles" localSheetId="0">Urban!$1:$2</definedName>
  </definedNames>
  <calcPr calcId="145621"/>
</workbook>
</file>

<file path=xl/calcChain.xml><?xml version="1.0" encoding="utf-8"?>
<calcChain xmlns="http://schemas.openxmlformats.org/spreadsheetml/2006/main">
  <c r="I13" i="1" l="1"/>
  <c r="M15" i="1"/>
  <c r="J75" i="1"/>
  <c r="J73" i="1"/>
  <c r="J72" i="1"/>
  <c r="I63" i="1"/>
  <c r="K63" i="1" s="1"/>
  <c r="R63" i="1" s="1"/>
  <c r="I8" i="2"/>
  <c r="M25" i="1"/>
  <c r="R25" i="1" s="1"/>
  <c r="K34" i="2" l="1"/>
  <c r="J32" i="2"/>
  <c r="J38" i="2"/>
  <c r="J42" i="2"/>
  <c r="J47" i="2"/>
  <c r="K80" i="2"/>
  <c r="J80" i="2"/>
  <c r="J79" i="2"/>
  <c r="J74" i="2"/>
  <c r="J73" i="2"/>
  <c r="J72" i="2"/>
  <c r="M13" i="1"/>
  <c r="O103" i="1"/>
  <c r="M106" i="1"/>
  <c r="L44" i="1"/>
  <c r="I17" i="3"/>
  <c r="F8" i="4"/>
  <c r="H22" i="4"/>
  <c r="N10" i="3"/>
  <c r="I98" i="2"/>
  <c r="J101" i="2"/>
  <c r="M11" i="1"/>
  <c r="M12" i="1"/>
  <c r="M8" i="2"/>
  <c r="M12" i="4"/>
  <c r="G18" i="2" l="1"/>
  <c r="I20" i="1"/>
  <c r="J45" i="1" l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25" i="3"/>
  <c r="J22" i="3"/>
  <c r="J21" i="3"/>
  <c r="J20" i="3"/>
  <c r="J19" i="3"/>
  <c r="J18" i="3"/>
  <c r="J17" i="3"/>
  <c r="J16" i="3"/>
  <c r="J15" i="3"/>
  <c r="J13" i="3"/>
  <c r="J6" i="3"/>
  <c r="J5" i="3"/>
  <c r="J4" i="3"/>
  <c r="H26" i="3"/>
  <c r="H14" i="3"/>
  <c r="H23" i="3" s="1"/>
  <c r="H28" i="3" s="1"/>
  <c r="H32" i="3" s="1"/>
  <c r="H7" i="3"/>
  <c r="K85" i="4"/>
  <c r="H30" i="3" l="1"/>
  <c r="J14" i="3"/>
  <c r="J70" i="2"/>
  <c r="J77" i="1" l="1"/>
  <c r="J81" i="1"/>
  <c r="J80" i="1"/>
  <c r="J83" i="1"/>
  <c r="J91" i="1"/>
  <c r="J92" i="1"/>
  <c r="J90" i="1"/>
  <c r="L78" i="1"/>
  <c r="K64" i="1"/>
  <c r="K65" i="1"/>
  <c r="K66" i="1"/>
  <c r="K67" i="1"/>
  <c r="K62" i="1"/>
  <c r="I8" i="4"/>
  <c r="J110" i="1"/>
  <c r="J108" i="1"/>
  <c r="J107" i="1"/>
  <c r="J105" i="1"/>
  <c r="C13" i="1"/>
  <c r="C16" i="1"/>
  <c r="C18" i="2"/>
  <c r="D18" i="2"/>
  <c r="E18" i="2"/>
  <c r="F18" i="2"/>
  <c r="J85" i="2"/>
  <c r="S115" i="2"/>
  <c r="R115" i="2"/>
  <c r="Q115" i="2"/>
  <c r="Q53" i="2"/>
  <c r="J52" i="2"/>
  <c r="J51" i="2"/>
  <c r="R103" i="2"/>
  <c r="J97" i="2"/>
  <c r="J98" i="2"/>
  <c r="J99" i="2"/>
  <c r="R53" i="2"/>
  <c r="J26" i="2"/>
  <c r="I18" i="2"/>
  <c r="J4" i="1"/>
  <c r="I4" i="1"/>
  <c r="U111" i="1"/>
  <c r="U36" i="1"/>
  <c r="O66" i="2"/>
  <c r="O65" i="2"/>
  <c r="O35" i="2"/>
  <c r="G12" i="2"/>
  <c r="G11" i="2"/>
  <c r="I9" i="4"/>
  <c r="I10" i="4"/>
  <c r="H11" i="4"/>
  <c r="E11" i="4"/>
  <c r="R4" i="1" l="1"/>
  <c r="J102" i="1"/>
  <c r="R102" i="1" s="1"/>
  <c r="D102" i="1"/>
  <c r="C102" i="1"/>
  <c r="R78" i="1"/>
  <c r="D78" i="1"/>
  <c r="C78" i="1"/>
  <c r="R77" i="1"/>
  <c r="D77" i="1"/>
  <c r="C77" i="1"/>
  <c r="R45" i="1"/>
  <c r="G24" i="1"/>
  <c r="J109" i="1" l="1"/>
  <c r="J87" i="1"/>
  <c r="J79" i="1"/>
  <c r="J74" i="1"/>
  <c r="R116" i="1" l="1"/>
  <c r="R113" i="1"/>
  <c r="R110" i="1"/>
  <c r="R109" i="1"/>
  <c r="R108" i="1"/>
  <c r="R107" i="1"/>
  <c r="R106" i="1"/>
  <c r="R93" i="1"/>
  <c r="R92" i="1"/>
  <c r="R91" i="1"/>
  <c r="R90" i="1"/>
  <c r="R89" i="1"/>
  <c r="R88" i="1"/>
  <c r="R87" i="1"/>
  <c r="R86" i="1"/>
  <c r="R85" i="1"/>
  <c r="R84" i="1"/>
  <c r="R83" i="1"/>
  <c r="R82" i="1"/>
  <c r="R80" i="1"/>
  <c r="R79" i="1"/>
  <c r="R74" i="1"/>
  <c r="R68" i="1"/>
  <c r="R67" i="1"/>
  <c r="R66" i="1"/>
  <c r="R65" i="1"/>
  <c r="R64" i="1"/>
  <c r="R62" i="1"/>
  <c r="R61" i="1"/>
  <c r="R60" i="1"/>
  <c r="R59" i="1"/>
  <c r="R58" i="1"/>
  <c r="R57" i="1"/>
  <c r="R56" i="1"/>
  <c r="R55" i="1"/>
  <c r="R54" i="1"/>
  <c r="R53" i="1"/>
  <c r="R52" i="1"/>
  <c r="R51" i="1"/>
  <c r="R49" i="1"/>
  <c r="R48" i="1"/>
  <c r="R47" i="1"/>
  <c r="R46" i="1"/>
  <c r="R37" i="1"/>
  <c r="R33" i="1"/>
  <c r="R32" i="1"/>
  <c r="R31" i="1"/>
  <c r="R27" i="1"/>
  <c r="R26" i="1"/>
  <c r="R24" i="1"/>
  <c r="R22" i="1"/>
  <c r="R21" i="1"/>
  <c r="R20" i="1"/>
  <c r="R19" i="1"/>
  <c r="R18" i="1"/>
  <c r="R17" i="1"/>
  <c r="R16" i="1"/>
  <c r="R15" i="1"/>
  <c r="R14" i="1"/>
  <c r="R12" i="1"/>
  <c r="R11" i="1"/>
  <c r="R10" i="1"/>
  <c r="R9" i="1"/>
  <c r="R8" i="1"/>
  <c r="R7" i="1"/>
  <c r="R6" i="1"/>
  <c r="R5" i="1"/>
  <c r="K117" i="1"/>
  <c r="K114" i="1"/>
  <c r="K111" i="1"/>
  <c r="K99" i="1"/>
  <c r="K94" i="1"/>
  <c r="K69" i="1"/>
  <c r="K38" i="1"/>
  <c r="K34" i="1"/>
  <c r="K28" i="1"/>
  <c r="G81" i="4"/>
  <c r="G80" i="4"/>
  <c r="G79" i="4"/>
  <c r="G78" i="4"/>
  <c r="G77" i="4"/>
  <c r="G76" i="4"/>
  <c r="G75" i="4"/>
  <c r="G3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1" i="4"/>
  <c r="F40" i="4"/>
  <c r="F39" i="4"/>
  <c r="F38" i="4"/>
  <c r="F31" i="4"/>
  <c r="F27" i="4"/>
  <c r="F18" i="4"/>
  <c r="F17" i="4"/>
  <c r="F16" i="4"/>
  <c r="F15" i="4"/>
  <c r="F14" i="4"/>
  <c r="F19" i="4" s="1"/>
  <c r="I44" i="1" s="1"/>
  <c r="J44" i="1" s="1"/>
  <c r="G34" i="4"/>
  <c r="F34" i="4"/>
  <c r="G30" i="4"/>
  <c r="F30" i="4"/>
  <c r="G26" i="4"/>
  <c r="F26" i="4"/>
  <c r="G25" i="4"/>
  <c r="F25" i="4"/>
  <c r="G13" i="4"/>
  <c r="G19" i="4" s="1"/>
  <c r="I34" i="2" s="1"/>
  <c r="F13" i="4"/>
  <c r="G7" i="4"/>
  <c r="F7" i="4"/>
  <c r="G6" i="4"/>
  <c r="F6" i="4"/>
  <c r="G5" i="4"/>
  <c r="F11" i="4"/>
  <c r="J36" i="1"/>
  <c r="R36" i="1" s="1"/>
  <c r="H19" i="4"/>
  <c r="E19" i="4"/>
  <c r="R105" i="1"/>
  <c r="O117" i="1"/>
  <c r="O114" i="1"/>
  <c r="O111" i="1"/>
  <c r="O99" i="1"/>
  <c r="O69" i="1"/>
  <c r="O38" i="1"/>
  <c r="O34" i="1"/>
  <c r="O23" i="1"/>
  <c r="R23" i="1" s="1"/>
  <c r="N117" i="1"/>
  <c r="N114" i="1"/>
  <c r="N99" i="1"/>
  <c r="N69" i="1"/>
  <c r="N38" i="1"/>
  <c r="N34" i="1"/>
  <c r="N28" i="1"/>
  <c r="R13" i="1"/>
  <c r="G11" i="4" l="1"/>
  <c r="I31" i="2" s="1"/>
  <c r="R44" i="1"/>
  <c r="O28" i="1"/>
  <c r="K119" i="1"/>
  <c r="K121" i="1" s="1"/>
  <c r="I41" i="1"/>
  <c r="I42" i="1" s="1"/>
  <c r="I43" i="1" s="1"/>
  <c r="F82" i="4"/>
  <c r="G82" i="4"/>
  <c r="I59" i="2" s="1"/>
  <c r="H82" i="4"/>
  <c r="E82" i="4"/>
  <c r="F42" i="4"/>
  <c r="G42" i="4"/>
  <c r="H42" i="4"/>
  <c r="E42" i="4"/>
  <c r="N75" i="1" s="1"/>
  <c r="N72" i="1" s="1"/>
  <c r="F36" i="4"/>
  <c r="I76" i="1" s="1"/>
  <c r="L76" i="1" s="1"/>
  <c r="G36" i="4"/>
  <c r="I64" i="2" s="1"/>
  <c r="H36" i="4"/>
  <c r="E36" i="4"/>
  <c r="F32" i="4"/>
  <c r="I71" i="1" s="1"/>
  <c r="G32" i="4"/>
  <c r="I55" i="2" s="1"/>
  <c r="H32" i="4"/>
  <c r="E32" i="4"/>
  <c r="F28" i="4"/>
  <c r="I101" i="1" s="1"/>
  <c r="G28" i="4"/>
  <c r="I94" i="2" s="1"/>
  <c r="H28" i="4"/>
  <c r="E28" i="4"/>
  <c r="F23" i="4"/>
  <c r="I96" i="1" s="1"/>
  <c r="G23" i="4"/>
  <c r="I89" i="2" s="1"/>
  <c r="I90" i="2" s="1"/>
  <c r="I91" i="2" s="1"/>
  <c r="E23" i="4"/>
  <c r="J59" i="2" l="1"/>
  <c r="K59" i="2"/>
  <c r="J31" i="2"/>
  <c r="K31" i="2" s="1"/>
  <c r="I56" i="2"/>
  <c r="I57" i="2" s="1"/>
  <c r="J57" i="2" s="1"/>
  <c r="N101" i="1"/>
  <c r="I103" i="1"/>
  <c r="I104" i="1" s="1"/>
  <c r="I32" i="2"/>
  <c r="I95" i="2"/>
  <c r="I96" i="2" s="1"/>
  <c r="N73" i="1"/>
  <c r="O73" i="1" s="1"/>
  <c r="O72" i="1"/>
  <c r="L41" i="1"/>
  <c r="J41" i="1"/>
  <c r="J56" i="2"/>
  <c r="J96" i="1"/>
  <c r="R96" i="1" s="1"/>
  <c r="E85" i="4"/>
  <c r="J94" i="2"/>
  <c r="J95" i="2"/>
  <c r="R101" i="1"/>
  <c r="N103" i="1"/>
  <c r="J42" i="1"/>
  <c r="J71" i="1"/>
  <c r="R71" i="1" s="1"/>
  <c r="R76" i="1"/>
  <c r="R41" i="1"/>
  <c r="G85" i="4"/>
  <c r="I75" i="1"/>
  <c r="R75" i="1" s="1"/>
  <c r="I97" i="1"/>
  <c r="F85" i="4"/>
  <c r="I125" i="1" s="1"/>
  <c r="N94" i="1"/>
  <c r="I33" i="2" l="1"/>
  <c r="K32" i="2"/>
  <c r="O94" i="1"/>
  <c r="O119" i="1" s="1"/>
  <c r="O121" i="1" s="1"/>
  <c r="I72" i="1"/>
  <c r="I73" i="1" s="1"/>
  <c r="R73" i="1" s="1"/>
  <c r="L42" i="1"/>
  <c r="R42" i="1" s="1"/>
  <c r="J43" i="1"/>
  <c r="N104" i="1"/>
  <c r="N111" i="1" s="1"/>
  <c r="N119" i="1" s="1"/>
  <c r="N121" i="1" s="1"/>
  <c r="J97" i="1"/>
  <c r="R97" i="1" s="1"/>
  <c r="R103" i="1"/>
  <c r="J96" i="2"/>
  <c r="I124" i="1"/>
  <c r="I126" i="1" s="1"/>
  <c r="I98" i="1"/>
  <c r="R104" i="1" l="1"/>
  <c r="R72" i="1"/>
  <c r="L43" i="1"/>
  <c r="R43" i="1" s="1"/>
  <c r="J98" i="1"/>
  <c r="R98" i="1" s="1"/>
  <c r="I40" i="2"/>
  <c r="I50" i="1"/>
  <c r="J50" i="1" s="1"/>
  <c r="O36" i="2"/>
  <c r="I6" i="4"/>
  <c r="I22" i="4"/>
  <c r="I7" i="4"/>
  <c r="I30" i="4"/>
  <c r="I25" i="4"/>
  <c r="I26" i="4"/>
  <c r="I27" i="4"/>
  <c r="I13" i="4"/>
  <c r="I34" i="4"/>
  <c r="I35" i="4"/>
  <c r="I14" i="4"/>
  <c r="I15" i="4"/>
  <c r="I16" i="4"/>
  <c r="I17" i="4"/>
  <c r="I18" i="4"/>
  <c r="I38" i="4"/>
  <c r="I39" i="4"/>
  <c r="I31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40" i="4"/>
  <c r="I70" i="4"/>
  <c r="I71" i="4"/>
  <c r="I41" i="4"/>
  <c r="I72" i="4"/>
  <c r="I73" i="4"/>
  <c r="I74" i="4"/>
  <c r="I75" i="4"/>
  <c r="I76" i="4"/>
  <c r="I77" i="4"/>
  <c r="I78" i="4"/>
  <c r="I79" i="4"/>
  <c r="I80" i="4"/>
  <c r="I81" i="4"/>
  <c r="I5" i="4"/>
  <c r="H21" i="4"/>
  <c r="H23" i="4" s="1"/>
  <c r="H85" i="4" l="1"/>
  <c r="I10" i="3"/>
  <c r="I11" i="4"/>
  <c r="R50" i="1"/>
  <c r="I36" i="4"/>
  <c r="I19" i="4"/>
  <c r="I42" i="4"/>
  <c r="I32" i="4"/>
  <c r="I82" i="4"/>
  <c r="I28" i="4"/>
  <c r="I21" i="4"/>
  <c r="I23" i="4" l="1"/>
  <c r="I85" i="4" s="1"/>
  <c r="J10" i="3" l="1"/>
  <c r="I11" i="3"/>
  <c r="I12" i="3" s="1"/>
  <c r="J11" i="3" l="1"/>
  <c r="J12" i="3"/>
  <c r="C11" i="2"/>
  <c r="E12" i="2"/>
  <c r="F20" i="1"/>
  <c r="E17" i="3" l="1"/>
  <c r="E12" i="3"/>
  <c r="E11" i="3"/>
  <c r="E10" i="3"/>
  <c r="E4" i="3"/>
  <c r="E7" i="3" s="1"/>
  <c r="F108" i="2"/>
  <c r="F109" i="2" s="1"/>
  <c r="F98" i="2"/>
  <c r="F97" i="2"/>
  <c r="F79" i="2"/>
  <c r="F78" i="2"/>
  <c r="F72" i="2"/>
  <c r="F70" i="2"/>
  <c r="F63" i="2"/>
  <c r="F62" i="2"/>
  <c r="F64" i="2"/>
  <c r="F60" i="2"/>
  <c r="F59" i="2"/>
  <c r="F57" i="2"/>
  <c r="F87" i="2" s="1"/>
  <c r="F56" i="2"/>
  <c r="F55" i="2"/>
  <c r="F49" i="2"/>
  <c r="F45" i="2"/>
  <c r="F41" i="2"/>
  <c r="F39" i="2"/>
  <c r="F37" i="2"/>
  <c r="F33" i="2"/>
  <c r="F32" i="2"/>
  <c r="F31" i="2"/>
  <c r="F10" i="2"/>
  <c r="F8" i="2"/>
  <c r="F12" i="2"/>
  <c r="F14" i="2"/>
  <c r="F7" i="2"/>
  <c r="F4" i="2"/>
  <c r="F17" i="2" s="1"/>
  <c r="F102" i="2"/>
  <c r="F101" i="2"/>
  <c r="F100" i="2"/>
  <c r="F99" i="2"/>
  <c r="F86" i="2"/>
  <c r="F84" i="2"/>
  <c r="F80" i="2"/>
  <c r="F76" i="2"/>
  <c r="F74" i="2"/>
  <c r="F73" i="2"/>
  <c r="F68" i="2"/>
  <c r="F67" i="2"/>
  <c r="F61" i="2"/>
  <c r="F58" i="2"/>
  <c r="F83" i="2"/>
  <c r="F82" i="2"/>
  <c r="F81" i="2"/>
  <c r="F50" i="2"/>
  <c r="F48" i="2"/>
  <c r="F46" i="2"/>
  <c r="F44" i="2"/>
  <c r="F40" i="2"/>
  <c r="F38" i="2"/>
  <c r="F34" i="2"/>
  <c r="F26" i="2"/>
  <c r="F21" i="2"/>
  <c r="F11" i="2"/>
  <c r="F16" i="2"/>
  <c r="F6" i="2"/>
  <c r="F85" i="1"/>
  <c r="F106" i="1"/>
  <c r="F81" i="1"/>
  <c r="F75" i="1"/>
  <c r="F73" i="1"/>
  <c r="F72" i="1"/>
  <c r="F13" i="1"/>
  <c r="F5" i="1"/>
  <c r="F51" i="1"/>
  <c r="F76" i="1"/>
  <c r="F43" i="1"/>
  <c r="F42" i="1"/>
  <c r="F41" i="1"/>
  <c r="F107" i="1"/>
  <c r="F4" i="1"/>
  <c r="F116" i="1"/>
  <c r="F108" i="1"/>
  <c r="F105" i="1"/>
  <c r="F104" i="1"/>
  <c r="F103" i="1"/>
  <c r="F101" i="1"/>
  <c r="F98" i="1"/>
  <c r="F97" i="1"/>
  <c r="F96" i="1"/>
  <c r="F92" i="1"/>
  <c r="F90" i="1"/>
  <c r="F88" i="1"/>
  <c r="F71" i="1"/>
  <c r="F60" i="1"/>
  <c r="F59" i="1"/>
  <c r="F55" i="1"/>
  <c r="F54" i="1"/>
  <c r="F84" i="1"/>
  <c r="F50" i="1"/>
  <c r="F49" i="1"/>
  <c r="F48" i="1"/>
  <c r="F15" i="1"/>
  <c r="F11" i="1"/>
  <c r="F24" i="1"/>
  <c r="F10" i="1"/>
  <c r="F113" i="1"/>
  <c r="F110" i="1"/>
  <c r="F91" i="1"/>
  <c r="F83" i="1"/>
  <c r="F80" i="1"/>
  <c r="F74" i="1"/>
  <c r="F58" i="1"/>
  <c r="F56" i="1"/>
  <c r="F53" i="1"/>
  <c r="F47" i="1"/>
  <c r="F44" i="1"/>
  <c r="F37" i="1"/>
  <c r="F36" i="1"/>
  <c r="F14" i="1"/>
  <c r="F9" i="1"/>
  <c r="D17" i="3"/>
  <c r="D4" i="3"/>
  <c r="D7" i="3" s="1"/>
  <c r="D15" i="3"/>
  <c r="D12" i="3"/>
  <c r="D11" i="3"/>
  <c r="D10" i="3"/>
  <c r="E70" i="2"/>
  <c r="E108" i="2"/>
  <c r="E109" i="2" s="1"/>
  <c r="E100" i="2"/>
  <c r="E99" i="2"/>
  <c r="E98" i="2"/>
  <c r="E86" i="2"/>
  <c r="E84" i="2"/>
  <c r="E79" i="2"/>
  <c r="E78" i="2"/>
  <c r="E68" i="2"/>
  <c r="E63" i="2"/>
  <c r="E62" i="2"/>
  <c r="E61" i="2"/>
  <c r="E64" i="2"/>
  <c r="E60" i="2"/>
  <c r="E59" i="2"/>
  <c r="E57" i="2"/>
  <c r="E56" i="2"/>
  <c r="E87" i="2" s="1"/>
  <c r="E55" i="2"/>
  <c r="E49" i="2"/>
  <c r="E44" i="2"/>
  <c r="E43" i="2"/>
  <c r="E41" i="2"/>
  <c r="E8" i="2"/>
  <c r="E11" i="2"/>
  <c r="E13" i="2"/>
  <c r="E7" i="2"/>
  <c r="E16" i="2"/>
  <c r="E102" i="2"/>
  <c r="E101" i="2"/>
  <c r="E97" i="2"/>
  <c r="E91" i="2"/>
  <c r="E90" i="2"/>
  <c r="E89" i="2"/>
  <c r="E92" i="2" s="1"/>
  <c r="E80" i="2"/>
  <c r="E76" i="2"/>
  <c r="E72" i="2"/>
  <c r="E71" i="2"/>
  <c r="E67" i="2"/>
  <c r="E58" i="2"/>
  <c r="E83" i="2"/>
  <c r="E82" i="2"/>
  <c r="E81" i="2"/>
  <c r="E51" i="2"/>
  <c r="E50" i="2"/>
  <c r="E48" i="2"/>
  <c r="E46" i="2"/>
  <c r="E45" i="2"/>
  <c r="E74" i="2"/>
  <c r="E42" i="2"/>
  <c r="E73" i="2"/>
  <c r="E40" i="2"/>
  <c r="E39" i="2"/>
  <c r="E38" i="2"/>
  <c r="E37" i="2"/>
  <c r="E33" i="2"/>
  <c r="E32" i="2"/>
  <c r="E31" i="2"/>
  <c r="E26" i="2"/>
  <c r="E10" i="2"/>
  <c r="E9" i="2"/>
  <c r="E17" i="2" s="1"/>
  <c r="E14" i="2"/>
  <c r="E6" i="2"/>
  <c r="E4" i="2"/>
  <c r="E50" i="1"/>
  <c r="E75" i="1"/>
  <c r="E73" i="1"/>
  <c r="E72" i="1"/>
  <c r="E31" i="1"/>
  <c r="E32" i="1"/>
  <c r="E13" i="1"/>
  <c r="E81" i="1"/>
  <c r="E88" i="1"/>
  <c r="E116" i="1"/>
  <c r="E113" i="1"/>
  <c r="E110" i="1"/>
  <c r="E109" i="1"/>
  <c r="E108" i="1"/>
  <c r="E107" i="1"/>
  <c r="E106" i="1"/>
  <c r="E105" i="1"/>
  <c r="E104" i="1"/>
  <c r="E103" i="1"/>
  <c r="E101" i="1"/>
  <c r="E98" i="1"/>
  <c r="E97" i="1"/>
  <c r="E96" i="1"/>
  <c r="E92" i="1"/>
  <c r="E91" i="1"/>
  <c r="E90" i="1"/>
  <c r="E87" i="1"/>
  <c r="E83" i="1"/>
  <c r="E80" i="1"/>
  <c r="E76" i="1"/>
  <c r="E74" i="1"/>
  <c r="E71" i="1"/>
  <c r="E61" i="1"/>
  <c r="E60" i="1"/>
  <c r="E59" i="1"/>
  <c r="E58" i="1"/>
  <c r="E56" i="1"/>
  <c r="E55" i="1"/>
  <c r="E54" i="1"/>
  <c r="E85" i="1"/>
  <c r="E52" i="1"/>
  <c r="E84" i="1"/>
  <c r="E51" i="1"/>
  <c r="E49" i="1"/>
  <c r="E48" i="1"/>
  <c r="E47" i="1"/>
  <c r="E43" i="1"/>
  <c r="E42" i="1"/>
  <c r="E41" i="1"/>
  <c r="E37" i="1"/>
  <c r="E36" i="1"/>
  <c r="E15" i="1"/>
  <c r="E12" i="1"/>
  <c r="E14" i="1"/>
  <c r="E17" i="1"/>
  <c r="E11" i="1"/>
  <c r="E24" i="1"/>
  <c r="E22" i="1"/>
  <c r="E16" i="1"/>
  <c r="E10" i="1"/>
  <c r="E9" i="1"/>
  <c r="E4" i="1"/>
  <c r="C11" i="3"/>
  <c r="D100" i="2"/>
  <c r="D97" i="2"/>
  <c r="D70" i="2"/>
  <c r="D49" i="2"/>
  <c r="D41" i="2"/>
  <c r="D8" i="2"/>
  <c r="D11" i="2"/>
  <c r="D7" i="2"/>
  <c r="D4" i="2"/>
  <c r="D108" i="2"/>
  <c r="D109" i="2" s="1"/>
  <c r="N23" i="2"/>
  <c r="M23" i="2"/>
  <c r="L23" i="2"/>
  <c r="K23" i="2"/>
  <c r="J23" i="2"/>
  <c r="I23" i="2"/>
  <c r="G23" i="2"/>
  <c r="F23" i="2"/>
  <c r="E23" i="2"/>
  <c r="D23" i="2"/>
  <c r="C23" i="2"/>
  <c r="O22" i="2"/>
  <c r="D20" i="2"/>
  <c r="D91" i="2"/>
  <c r="D90" i="2"/>
  <c r="D89" i="2"/>
  <c r="D92" i="2" s="1"/>
  <c r="D101" i="2"/>
  <c r="D99" i="2"/>
  <c r="D98" i="2"/>
  <c r="D86" i="2"/>
  <c r="D85" i="2"/>
  <c r="D84" i="2"/>
  <c r="D80" i="2"/>
  <c r="D79" i="2"/>
  <c r="D78" i="2"/>
  <c r="D77" i="2"/>
  <c r="D76" i="2"/>
  <c r="D72" i="2"/>
  <c r="D71" i="2"/>
  <c r="D68" i="2"/>
  <c r="D67" i="2"/>
  <c r="D63" i="2"/>
  <c r="D62" i="2"/>
  <c r="D61" i="2"/>
  <c r="D64" i="2"/>
  <c r="D60" i="2"/>
  <c r="D59" i="2"/>
  <c r="D58" i="2"/>
  <c r="D57" i="2"/>
  <c r="D56" i="2"/>
  <c r="D87" i="2" s="1"/>
  <c r="D55" i="2"/>
  <c r="D83" i="2"/>
  <c r="D82" i="2"/>
  <c r="D81" i="2"/>
  <c r="D50" i="2"/>
  <c r="D48" i="2"/>
  <c r="D47" i="2"/>
  <c r="D46" i="2"/>
  <c r="D45" i="2"/>
  <c r="D44" i="2"/>
  <c r="D74" i="2"/>
  <c r="D42" i="2"/>
  <c r="D73" i="2"/>
  <c r="D40" i="2"/>
  <c r="D39" i="2"/>
  <c r="D26" i="2"/>
  <c r="D38" i="2"/>
  <c r="D37" i="2"/>
  <c r="D33" i="2"/>
  <c r="D32" i="2"/>
  <c r="D31" i="2"/>
  <c r="D10" i="2"/>
  <c r="D9" i="2"/>
  <c r="D12" i="2"/>
  <c r="D15" i="2"/>
  <c r="O15" i="2"/>
  <c r="D16" i="2"/>
  <c r="D6" i="2"/>
  <c r="D17" i="2" s="1"/>
  <c r="D50" i="1"/>
  <c r="D13" i="1"/>
  <c r="D116" i="1"/>
  <c r="D113" i="1"/>
  <c r="D109" i="1"/>
  <c r="D108" i="1"/>
  <c r="D107" i="1"/>
  <c r="D106" i="1"/>
  <c r="D105" i="1"/>
  <c r="D104" i="1"/>
  <c r="D103" i="1"/>
  <c r="D101" i="1"/>
  <c r="D111" i="1" s="1"/>
  <c r="D98" i="1"/>
  <c r="D97" i="1"/>
  <c r="D96" i="1"/>
  <c r="D99" i="1" s="1"/>
  <c r="D92" i="1"/>
  <c r="D91" i="1"/>
  <c r="D90" i="1"/>
  <c r="D89" i="1"/>
  <c r="D88" i="1"/>
  <c r="D87" i="1"/>
  <c r="D83" i="1"/>
  <c r="D82" i="1"/>
  <c r="D81" i="1"/>
  <c r="D80" i="1"/>
  <c r="D79" i="1"/>
  <c r="D76" i="1"/>
  <c r="D75" i="1"/>
  <c r="D74" i="1"/>
  <c r="D73" i="1"/>
  <c r="D72" i="1"/>
  <c r="D71" i="1"/>
  <c r="D60" i="1"/>
  <c r="D59" i="1"/>
  <c r="D58" i="1"/>
  <c r="D57" i="1"/>
  <c r="D56" i="1"/>
  <c r="D55" i="1"/>
  <c r="D54" i="1"/>
  <c r="D85" i="1"/>
  <c r="D52" i="1"/>
  <c r="D84" i="1"/>
  <c r="D51" i="1"/>
  <c r="D49" i="1"/>
  <c r="D48" i="1"/>
  <c r="D47" i="1"/>
  <c r="D43" i="1"/>
  <c r="D42" i="1"/>
  <c r="D41" i="1"/>
  <c r="D36" i="1"/>
  <c r="D15" i="1"/>
  <c r="D12" i="1"/>
  <c r="D14" i="1"/>
  <c r="D11" i="1"/>
  <c r="D10" i="1"/>
  <c r="D9" i="1"/>
  <c r="D4" i="1"/>
  <c r="D16" i="1"/>
  <c r="D117" i="1"/>
  <c r="D114" i="1"/>
  <c r="D38" i="1"/>
  <c r="D34" i="1"/>
  <c r="C26" i="3"/>
  <c r="C23" i="3"/>
  <c r="C7" i="3"/>
  <c r="D26" i="3"/>
  <c r="E26" i="3"/>
  <c r="J26" i="3"/>
  <c r="I26" i="3"/>
  <c r="F26" i="3"/>
  <c r="B26" i="3"/>
  <c r="C6" i="2"/>
  <c r="C17" i="2" s="1"/>
  <c r="B11" i="3"/>
  <c r="C108" i="2"/>
  <c r="C90" i="2"/>
  <c r="C89" i="2"/>
  <c r="C92" i="2" s="1"/>
  <c r="C98" i="2"/>
  <c r="C97" i="2"/>
  <c r="C86" i="2"/>
  <c r="C85" i="2"/>
  <c r="C84" i="2"/>
  <c r="C70" i="2"/>
  <c r="C68" i="2"/>
  <c r="C67" i="2"/>
  <c r="C61" i="2"/>
  <c r="C64" i="2"/>
  <c r="C60" i="2"/>
  <c r="C59" i="2"/>
  <c r="C57" i="2"/>
  <c r="C87" i="2" s="1"/>
  <c r="C56" i="2"/>
  <c r="C55" i="2"/>
  <c r="C50" i="2"/>
  <c r="C49" i="2"/>
  <c r="C48" i="2"/>
  <c r="C47" i="2"/>
  <c r="C46" i="2"/>
  <c r="C45" i="2"/>
  <c r="C42" i="2"/>
  <c r="C73" i="2"/>
  <c r="C39" i="2"/>
  <c r="C26" i="2"/>
  <c r="C38" i="2"/>
  <c r="C33" i="2"/>
  <c r="C32" i="2"/>
  <c r="C31" i="2"/>
  <c r="C53" i="2" s="1"/>
  <c r="C8" i="2"/>
  <c r="C10" i="2"/>
  <c r="C13" i="2"/>
  <c r="O12" i="2"/>
  <c r="C62" i="2"/>
  <c r="F106" i="2"/>
  <c r="F103" i="2"/>
  <c r="F92" i="2"/>
  <c r="F53" i="2"/>
  <c r="F28" i="2"/>
  <c r="E106" i="2"/>
  <c r="E103" i="2"/>
  <c r="E53" i="2"/>
  <c r="E28" i="2"/>
  <c r="D106" i="2"/>
  <c r="D103" i="2"/>
  <c r="D53" i="2"/>
  <c r="D28" i="2"/>
  <c r="C109" i="2"/>
  <c r="C106" i="2"/>
  <c r="C103" i="2"/>
  <c r="C28" i="2"/>
  <c r="C116" i="1"/>
  <c r="C108" i="1"/>
  <c r="C107" i="1"/>
  <c r="C106" i="1"/>
  <c r="C105" i="1"/>
  <c r="C104" i="1"/>
  <c r="C103" i="1"/>
  <c r="C101" i="1"/>
  <c r="C98" i="1"/>
  <c r="C97" i="1"/>
  <c r="C96" i="1"/>
  <c r="C92" i="1"/>
  <c r="C91" i="1"/>
  <c r="C90" i="1"/>
  <c r="C89" i="1"/>
  <c r="C88" i="1"/>
  <c r="C87" i="1"/>
  <c r="C83" i="1"/>
  <c r="C82" i="1"/>
  <c r="C81" i="1"/>
  <c r="C80" i="1"/>
  <c r="C79" i="1"/>
  <c r="C76" i="1"/>
  <c r="C75" i="1"/>
  <c r="C74" i="1"/>
  <c r="C73" i="1"/>
  <c r="C72" i="1"/>
  <c r="C71" i="1"/>
  <c r="D23" i="3" l="1"/>
  <c r="E23" i="3"/>
  <c r="D32" i="3"/>
  <c r="D28" i="3"/>
  <c r="E28" i="3"/>
  <c r="E30" i="3" s="1"/>
  <c r="D30" i="3"/>
  <c r="C28" i="3"/>
  <c r="D69" i="1"/>
  <c r="D28" i="1"/>
  <c r="D94" i="1"/>
  <c r="E111" i="2"/>
  <c r="E113" i="2" s="1"/>
  <c r="D111" i="2"/>
  <c r="D113" i="2" s="1"/>
  <c r="F111" i="2"/>
  <c r="F113" i="2" s="1"/>
  <c r="C111" i="2"/>
  <c r="C113" i="2" s="1"/>
  <c r="C60" i="1"/>
  <c r="C59" i="1"/>
  <c r="C58" i="1"/>
  <c r="C57" i="1"/>
  <c r="C56" i="1"/>
  <c r="C55" i="1"/>
  <c r="C54" i="1"/>
  <c r="C85" i="1"/>
  <c r="C52" i="1"/>
  <c r="C84" i="1"/>
  <c r="C51" i="1"/>
  <c r="C50" i="1"/>
  <c r="C49" i="1"/>
  <c r="C48" i="1"/>
  <c r="C47" i="1"/>
  <c r="C43" i="1"/>
  <c r="C42" i="1"/>
  <c r="C41" i="1"/>
  <c r="C36" i="1"/>
  <c r="C10" i="1"/>
  <c r="C15" i="1"/>
  <c r="C11" i="1"/>
  <c r="C9" i="1"/>
  <c r="C14" i="1"/>
  <c r="C4" i="1"/>
  <c r="C113" i="1"/>
  <c r="F117" i="1"/>
  <c r="F114" i="1"/>
  <c r="F111" i="1"/>
  <c r="F99" i="1"/>
  <c r="F94" i="1"/>
  <c r="F69" i="1"/>
  <c r="F38" i="1"/>
  <c r="F34" i="1"/>
  <c r="F28" i="1"/>
  <c r="E117" i="1"/>
  <c r="E114" i="1"/>
  <c r="E111" i="1"/>
  <c r="E99" i="1"/>
  <c r="E94" i="1"/>
  <c r="E69" i="1"/>
  <c r="E38" i="1"/>
  <c r="E34" i="1"/>
  <c r="E28" i="1"/>
  <c r="C30" i="3" l="1"/>
  <c r="C32" i="3"/>
  <c r="E32" i="3"/>
  <c r="D119" i="1"/>
  <c r="D121" i="1" s="1"/>
  <c r="F119" i="1"/>
  <c r="F121" i="1" s="1"/>
  <c r="E119" i="1"/>
  <c r="E121" i="1" s="1"/>
  <c r="Q69" i="1"/>
  <c r="M69" i="1"/>
  <c r="P69" i="1"/>
  <c r="L69" i="1"/>
  <c r="T70" i="1" s="1"/>
  <c r="J69" i="1"/>
  <c r="I69" i="1"/>
  <c r="G69" i="1"/>
  <c r="M117" i="1" l="1"/>
  <c r="M114" i="1"/>
  <c r="M111" i="1"/>
  <c r="M99" i="1"/>
  <c r="M94" i="1"/>
  <c r="M38" i="1"/>
  <c r="M34" i="1"/>
  <c r="M28" i="1"/>
  <c r="P117" i="1"/>
  <c r="P114" i="1"/>
  <c r="P111" i="1"/>
  <c r="P99" i="1"/>
  <c r="P94" i="1"/>
  <c r="P38" i="1"/>
  <c r="P34" i="1"/>
  <c r="P28" i="1"/>
  <c r="O108" i="2"/>
  <c r="O105" i="2"/>
  <c r="O102" i="2"/>
  <c r="O101" i="2"/>
  <c r="O100" i="2"/>
  <c r="O99" i="2"/>
  <c r="O98" i="2"/>
  <c r="O97" i="2"/>
  <c r="O96" i="2"/>
  <c r="O95" i="2"/>
  <c r="O94" i="2"/>
  <c r="O91" i="2"/>
  <c r="O90" i="2"/>
  <c r="O89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4" i="2"/>
  <c r="O63" i="2"/>
  <c r="O62" i="2"/>
  <c r="O61" i="2"/>
  <c r="O60" i="2"/>
  <c r="O59" i="2"/>
  <c r="O58" i="2"/>
  <c r="O57" i="2"/>
  <c r="O56" i="2"/>
  <c r="O55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4" i="2"/>
  <c r="O33" i="2"/>
  <c r="O32" i="2"/>
  <c r="O31" i="2"/>
  <c r="O27" i="2"/>
  <c r="O26" i="2"/>
  <c r="O21" i="2"/>
  <c r="O20" i="2"/>
  <c r="O16" i="2"/>
  <c r="O14" i="2"/>
  <c r="O13" i="2"/>
  <c r="O11" i="2"/>
  <c r="O10" i="2"/>
  <c r="O9" i="2"/>
  <c r="O8" i="2"/>
  <c r="O7" i="2"/>
  <c r="O6" i="2"/>
  <c r="O5" i="2"/>
  <c r="O4" i="2"/>
  <c r="M109" i="2"/>
  <c r="M106" i="2"/>
  <c r="M103" i="2"/>
  <c r="M92" i="2"/>
  <c r="M87" i="2"/>
  <c r="M53" i="2"/>
  <c r="M28" i="2"/>
  <c r="M17" i="2"/>
  <c r="L109" i="2"/>
  <c r="L106" i="2"/>
  <c r="L103" i="2"/>
  <c r="L92" i="2"/>
  <c r="L87" i="2"/>
  <c r="L53" i="2"/>
  <c r="L28" i="2"/>
  <c r="L17" i="2"/>
  <c r="C69" i="1"/>
  <c r="J23" i="3"/>
  <c r="J28" i="3" s="1"/>
  <c r="I23" i="3"/>
  <c r="I28" i="3" s="1"/>
  <c r="I32" i="3" s="1"/>
  <c r="F23" i="3"/>
  <c r="F28" i="3" s="1"/>
  <c r="F32" i="3" s="1"/>
  <c r="B23" i="3"/>
  <c r="B28" i="3" s="1"/>
  <c r="B32" i="3" s="1"/>
  <c r="O23" i="2" l="1"/>
  <c r="L111" i="2"/>
  <c r="L113" i="2" s="1"/>
  <c r="M111" i="2"/>
  <c r="M113" i="2" s="1"/>
  <c r="P119" i="1"/>
  <c r="P121" i="1" s="1"/>
  <c r="M119" i="1"/>
  <c r="M121" i="1" s="1"/>
  <c r="R69" i="1"/>
  <c r="N109" i="2"/>
  <c r="N106" i="2"/>
  <c r="N103" i="2"/>
  <c r="N92" i="2"/>
  <c r="N87" i="2"/>
  <c r="N53" i="2"/>
  <c r="N28" i="2"/>
  <c r="N17" i="2"/>
  <c r="O109" i="2"/>
  <c r="O106" i="2"/>
  <c r="O103" i="2"/>
  <c r="O92" i="2"/>
  <c r="O87" i="2"/>
  <c r="O53" i="2"/>
  <c r="O28" i="2"/>
  <c r="O17" i="2"/>
  <c r="K109" i="2"/>
  <c r="K106" i="2"/>
  <c r="K103" i="2"/>
  <c r="K92" i="2"/>
  <c r="K87" i="2"/>
  <c r="K53" i="2"/>
  <c r="Q54" i="2" s="1"/>
  <c r="K28" i="2"/>
  <c r="K17" i="2"/>
  <c r="J109" i="2"/>
  <c r="J106" i="2"/>
  <c r="J103" i="2"/>
  <c r="S104" i="2" s="1"/>
  <c r="S114" i="2" s="1"/>
  <c r="S116" i="2" s="1"/>
  <c r="J92" i="2"/>
  <c r="J87" i="2"/>
  <c r="J53" i="2"/>
  <c r="R54" i="2" s="1"/>
  <c r="J28" i="2"/>
  <c r="J17" i="2"/>
  <c r="I109" i="2"/>
  <c r="I106" i="2"/>
  <c r="I103" i="2"/>
  <c r="I92" i="2"/>
  <c r="I87" i="2"/>
  <c r="I53" i="2"/>
  <c r="I28" i="2"/>
  <c r="I17" i="2"/>
  <c r="J7" i="3"/>
  <c r="I7" i="3"/>
  <c r="I30" i="3" s="1"/>
  <c r="F7" i="3"/>
  <c r="B7" i="3"/>
  <c r="G109" i="2"/>
  <c r="G106" i="2"/>
  <c r="G103" i="2"/>
  <c r="G92" i="2"/>
  <c r="G87" i="2"/>
  <c r="G53" i="2"/>
  <c r="G28" i="2"/>
  <c r="G17" i="2"/>
  <c r="R117" i="1"/>
  <c r="Q117" i="1"/>
  <c r="L117" i="1"/>
  <c r="J117" i="1"/>
  <c r="I117" i="1"/>
  <c r="G117" i="1"/>
  <c r="C117" i="1"/>
  <c r="R114" i="1"/>
  <c r="Q114" i="1"/>
  <c r="L114" i="1"/>
  <c r="J114" i="1"/>
  <c r="U115" i="1" s="1"/>
  <c r="I114" i="1"/>
  <c r="G114" i="1"/>
  <c r="C114" i="1"/>
  <c r="R111" i="1"/>
  <c r="Q111" i="1"/>
  <c r="L111" i="1"/>
  <c r="V112" i="1" s="1"/>
  <c r="J111" i="1"/>
  <c r="I111" i="1"/>
  <c r="G111" i="1"/>
  <c r="C111" i="1"/>
  <c r="R99" i="1"/>
  <c r="Q99" i="1"/>
  <c r="L99" i="1"/>
  <c r="J99" i="1"/>
  <c r="I99" i="1"/>
  <c r="G99" i="1"/>
  <c r="C99" i="1"/>
  <c r="Q94" i="1"/>
  <c r="L94" i="1"/>
  <c r="T95" i="1" s="1"/>
  <c r="I94" i="1"/>
  <c r="G94" i="1"/>
  <c r="C94" i="1"/>
  <c r="R28" i="1"/>
  <c r="Q28" i="1"/>
  <c r="L28" i="1"/>
  <c r="J28" i="1"/>
  <c r="I28" i="1"/>
  <c r="G28" i="1"/>
  <c r="C28" i="1"/>
  <c r="R38" i="1"/>
  <c r="Q38" i="1"/>
  <c r="L38" i="1"/>
  <c r="J38" i="1"/>
  <c r="I38" i="1"/>
  <c r="R34" i="1"/>
  <c r="Q34" i="1"/>
  <c r="L34" i="1"/>
  <c r="J34" i="1"/>
  <c r="I34" i="1"/>
  <c r="G34" i="1"/>
  <c r="C34" i="1"/>
  <c r="G38" i="1"/>
  <c r="C38" i="1"/>
  <c r="Q88" i="2" l="1"/>
  <c r="Q114" i="2" s="1"/>
  <c r="Q116" i="2" s="1"/>
  <c r="R88" i="2"/>
  <c r="R114" i="2" s="1"/>
  <c r="R116" i="2" s="1"/>
  <c r="T53" i="2"/>
  <c r="I111" i="2"/>
  <c r="I113" i="2" s="1"/>
  <c r="K111" i="2"/>
  <c r="K113" i="2" s="1"/>
  <c r="N111" i="2"/>
  <c r="N113" i="2" s="1"/>
  <c r="G111" i="2"/>
  <c r="G113" i="2" s="1"/>
  <c r="G125" i="1" s="1"/>
  <c r="J111" i="2"/>
  <c r="J113" i="2" s="1"/>
  <c r="G119" i="1"/>
  <c r="G121" i="1" s="1"/>
  <c r="Q119" i="1"/>
  <c r="Q121" i="1" s="1"/>
  <c r="L119" i="1"/>
  <c r="L121" i="1" s="1"/>
  <c r="I119" i="1"/>
  <c r="I121" i="1" s="1"/>
  <c r="O111" i="2"/>
  <c r="O113" i="2" s="1"/>
  <c r="C119" i="1"/>
  <c r="C121" i="1" s="1"/>
  <c r="F30" i="3"/>
  <c r="J30" i="3"/>
  <c r="B30" i="3"/>
  <c r="R81" i="1"/>
  <c r="R94" i="1" s="1"/>
  <c r="R119" i="1" s="1"/>
  <c r="R121" i="1" s="1"/>
  <c r="J94" i="1"/>
  <c r="J119" i="1" s="1"/>
  <c r="J121" i="1" s="1"/>
  <c r="G124" i="1" l="1"/>
  <c r="G126" i="1" s="1"/>
  <c r="G128" i="1" s="1"/>
  <c r="G131" i="1" s="1"/>
</calcChain>
</file>

<file path=xl/comments1.xml><?xml version="1.0" encoding="utf-8"?>
<comments xmlns="http://schemas.openxmlformats.org/spreadsheetml/2006/main">
  <authors>
    <author>nancy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Include balance from Year 2011 $75,256.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prior year adjustment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DO NOT build budget estimating accident refunds.  If there is an accident the maintenance expense will be higher.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DO NOT build budget based on equipment selling.  Any funds received are considered extra.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Deducted current deficit on books of $114,798.58</t>
        </r>
      </text>
    </comment>
  </commentList>
</comments>
</file>

<file path=xl/comments2.xml><?xml version="1.0" encoding="utf-8"?>
<comments xmlns="http://schemas.openxmlformats.org/spreadsheetml/2006/main">
  <authors>
    <author>nancy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Medical funds reserved prior years, recognized this year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DO NOT build budget estimating accident refunds.  If there is an accident the maintenance expense will be higher.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DO NOT build budget based on equipment selling.  Any funds received are considered extra.</t>
        </r>
      </text>
    </comment>
  </commentList>
</comments>
</file>

<file path=xl/comments3.xml><?xml version="1.0" encoding="utf-8"?>
<comments xmlns="http://schemas.openxmlformats.org/spreadsheetml/2006/main">
  <authors>
    <author>nancy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Grant 031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Grant 537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Grant 558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Grant 579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Grant 611</t>
        </r>
      </text>
    </comment>
  </commentList>
</comments>
</file>

<file path=xl/sharedStrings.xml><?xml version="1.0" encoding="utf-8"?>
<sst xmlns="http://schemas.openxmlformats.org/spreadsheetml/2006/main" count="524" uniqueCount="315">
  <si>
    <t>CVTD URBAN</t>
  </si>
  <si>
    <t>FY 07-08</t>
  </si>
  <si>
    <t>FY 08-09</t>
  </si>
  <si>
    <t>FY 09-10</t>
  </si>
  <si>
    <t>Actual</t>
  </si>
  <si>
    <t>REVENUE</t>
  </si>
  <si>
    <t>JARC</t>
  </si>
  <si>
    <t>New Freedom</t>
  </si>
  <si>
    <t>State Administrative-Planning</t>
  </si>
  <si>
    <t xml:space="preserve">State  </t>
  </si>
  <si>
    <t>Program Income</t>
  </si>
  <si>
    <t>Charter Income</t>
  </si>
  <si>
    <t>Advertising</t>
  </si>
  <si>
    <t>Medical Funds</t>
  </si>
  <si>
    <t>TML Insurance</t>
  </si>
  <si>
    <t>Aging Vendor</t>
  </si>
  <si>
    <t>Local Income</t>
  </si>
  <si>
    <t>Sale of Equipment</t>
  </si>
  <si>
    <t>InKind</t>
  </si>
  <si>
    <t xml:space="preserve"> </t>
  </si>
  <si>
    <t xml:space="preserve"> Total Revenue</t>
  </si>
  <si>
    <t>EXPENDITURES</t>
  </si>
  <si>
    <t>Capital Technology</t>
  </si>
  <si>
    <t>Facility Improvements</t>
  </si>
  <si>
    <t>Comm Bus</t>
  </si>
  <si>
    <t>Total 108-Urban Capital</t>
  </si>
  <si>
    <t>Rent-Admin</t>
  </si>
  <si>
    <t>Shop &amp; Yard Lease</t>
  </si>
  <si>
    <t>Total 109-Urban Capital Lease</t>
  </si>
  <si>
    <t>Salaries</t>
  </si>
  <si>
    <t>Fringe</t>
  </si>
  <si>
    <t>Indirect</t>
  </si>
  <si>
    <t>CS Wages</t>
  </si>
  <si>
    <t>Audit &amp; Legal</t>
  </si>
  <si>
    <t>Contract Svs</t>
  </si>
  <si>
    <t>Utilities</t>
  </si>
  <si>
    <t>Bldg Maint</t>
  </si>
  <si>
    <t>Supplies</t>
  </si>
  <si>
    <t>Computers</t>
  </si>
  <si>
    <t>Insurance</t>
  </si>
  <si>
    <t>Internet</t>
  </si>
  <si>
    <t>Printing</t>
  </si>
  <si>
    <t>Ads &amp; Promotion</t>
  </si>
  <si>
    <t>Publications</t>
  </si>
  <si>
    <t>Dues</t>
  </si>
  <si>
    <t>Communications</t>
  </si>
  <si>
    <t>Postage</t>
  </si>
  <si>
    <t>Other</t>
  </si>
  <si>
    <t>Total 110-Administration</t>
  </si>
  <si>
    <t>Uniforms</t>
  </si>
  <si>
    <t>Driver Wages</t>
  </si>
  <si>
    <t>Dispatcher Wages</t>
  </si>
  <si>
    <t>Travel In</t>
  </si>
  <si>
    <t>Travel Out</t>
  </si>
  <si>
    <t>Fuel</t>
  </si>
  <si>
    <t>Lubricant</t>
  </si>
  <si>
    <t>Tires</t>
  </si>
  <si>
    <t>Equip Rental</t>
  </si>
  <si>
    <t>Training</t>
  </si>
  <si>
    <t>Physicals</t>
  </si>
  <si>
    <t>Anti Drug Progr</t>
  </si>
  <si>
    <t>Safety</t>
  </si>
  <si>
    <t>InKind Other</t>
  </si>
  <si>
    <t>Total 111-Operating</t>
  </si>
  <si>
    <t>Total 112-Planning</t>
  </si>
  <si>
    <t>Vehicle Maint</t>
  </si>
  <si>
    <t>Prevent Maint</t>
  </si>
  <si>
    <t>Repeater Rent</t>
  </si>
  <si>
    <t>Radio Maintenance</t>
  </si>
  <si>
    <t>Total 156-Maintenance</t>
  </si>
  <si>
    <t>Total 157-Support Planning</t>
  </si>
  <si>
    <t>Non-Project</t>
  </si>
  <si>
    <t>Total 997-Non Project</t>
  </si>
  <si>
    <t xml:space="preserve"> Total Expenditures</t>
  </si>
  <si>
    <t xml:space="preserve"> Total Revenue over Expenditures</t>
  </si>
  <si>
    <t>FY 10-11</t>
  </si>
  <si>
    <t>CVTD RURAL</t>
  </si>
  <si>
    <t>County Match</t>
  </si>
  <si>
    <t>Communications-Bus</t>
  </si>
  <si>
    <t>Total 108-Rural Capital</t>
  </si>
  <si>
    <t>Total 109-Rural Capital Lease</t>
  </si>
  <si>
    <t>Inkind Utilities</t>
  </si>
  <si>
    <t>Transit Oper Mgmt Salaries</t>
  </si>
  <si>
    <t>County Driver Fringe</t>
  </si>
  <si>
    <t>County Dispatcher Fringe</t>
  </si>
  <si>
    <t>County Driver Wages</t>
  </si>
  <si>
    <t>County Dispatcher Wages</t>
  </si>
  <si>
    <t>Lease Vehicles</t>
  </si>
  <si>
    <t>InKind Supervisory Salary</t>
  </si>
  <si>
    <t>InKind Space</t>
  </si>
  <si>
    <t>InKind Storage</t>
  </si>
  <si>
    <t>Inkind Driver Wages</t>
  </si>
  <si>
    <t>Inkind Driver Aide</t>
  </si>
  <si>
    <t>Inkind Dispatcher</t>
  </si>
  <si>
    <t>variance</t>
  </si>
  <si>
    <t>FY 11-12</t>
  </si>
  <si>
    <t>FY 12-13</t>
  </si>
  <si>
    <t>Budget</t>
  </si>
  <si>
    <t>Federal</t>
  </si>
  <si>
    <t>TXDOT</t>
  </si>
  <si>
    <t>Local</t>
  </si>
  <si>
    <t>Variance</t>
  </si>
  <si>
    <t>CVTD REGIONAL PLANNING</t>
  </si>
  <si>
    <t>State Scholarship</t>
  </si>
  <si>
    <t>Local Funds</t>
  </si>
  <si>
    <t>State Federal</t>
  </si>
  <si>
    <t>State</t>
  </si>
  <si>
    <t>Travel-In Region</t>
  </si>
  <si>
    <t>Travel-Out of Region</t>
  </si>
  <si>
    <t>Meals</t>
  </si>
  <si>
    <t>Computers/Software</t>
  </si>
  <si>
    <t>Postage/freight</t>
  </si>
  <si>
    <t>Program</t>
  </si>
  <si>
    <t>Match</t>
  </si>
  <si>
    <t>Multi-Modal Supplies</t>
  </si>
  <si>
    <t>Multi-Modal Internet</t>
  </si>
  <si>
    <t>Multi-Modal Utilities</t>
  </si>
  <si>
    <t>Multi-Modal Building Maintenance</t>
  </si>
  <si>
    <t>Multi-Modal Communications</t>
  </si>
  <si>
    <t>Supplies - Bus</t>
  </si>
  <si>
    <t>Cell Phones (Management)</t>
  </si>
  <si>
    <t>Cell Phones (Bus Communications)</t>
  </si>
  <si>
    <t>Chamber of Commerce</t>
  </si>
  <si>
    <t>COSA Goodfellow</t>
  </si>
  <si>
    <t>COSA Operating</t>
  </si>
  <si>
    <t>COSA Capital</t>
  </si>
  <si>
    <t>Adult Enrichment</t>
  </si>
  <si>
    <t>Lease Income</t>
  </si>
  <si>
    <t>ED (5310)</t>
  </si>
  <si>
    <t xml:space="preserve">FTA </t>
  </si>
  <si>
    <t xml:space="preserve">State Administrative Federal </t>
  </si>
  <si>
    <t>ED - Prev Maint (5310)</t>
  </si>
  <si>
    <t>County Local</t>
  </si>
  <si>
    <t>Toll Credits</t>
  </si>
  <si>
    <t>Capital Equipment</t>
  </si>
  <si>
    <t>SALARY BREAKDOWN BY PROGRAMS</t>
  </si>
  <si>
    <t>DIRECT</t>
  </si>
  <si>
    <t>URBAN</t>
  </si>
  <si>
    <t>RURAL</t>
  </si>
  <si>
    <t xml:space="preserve">TOTAL </t>
  </si>
  <si>
    <t>POSITION</t>
  </si>
  <si>
    <t>SALARY</t>
  </si>
  <si>
    <t>PROGRAM</t>
  </si>
  <si>
    <t>Transportation</t>
  </si>
  <si>
    <t>October 1, 2012 - September 30, 2013</t>
  </si>
  <si>
    <t>Director of Transportation</t>
  </si>
  <si>
    <t>Associate Director of Transportation</t>
  </si>
  <si>
    <t>Transportation Planner</t>
  </si>
  <si>
    <t>Program Specialist/Director Admin. Assistant</t>
  </si>
  <si>
    <t>Operations Manager</t>
  </si>
  <si>
    <t>Maintenance Tech</t>
  </si>
  <si>
    <t>Dispatcher</t>
  </si>
  <si>
    <t>Customer Service Representative</t>
  </si>
  <si>
    <t>Sitel Fixed Route Driver (JARC)</t>
  </si>
  <si>
    <t>Transportation Supervisor</t>
  </si>
  <si>
    <t>Part-Time Transportation Driver FR (1560 hrs)</t>
  </si>
  <si>
    <t>Fixed Route Transportation Driver</t>
  </si>
  <si>
    <t>Part-Time Transportation Driver DR (1560 hrs)</t>
  </si>
  <si>
    <t>Part-Time Urban Demand Driver (1560 hrs)</t>
  </si>
  <si>
    <t>Urban Demand Transportation Driver</t>
  </si>
  <si>
    <t>Urban Demand Transportation Driver (JARC)</t>
  </si>
  <si>
    <t>Part-Time Tom Green County Driver (1560 hrs)</t>
  </si>
  <si>
    <t>Tom Green Transportation Driver</t>
  </si>
  <si>
    <t>Transportation Driver-County</t>
  </si>
  <si>
    <t>REGIONAL</t>
  </si>
  <si>
    <t>Planning</t>
  </si>
  <si>
    <t>Scott</t>
  </si>
  <si>
    <t>Sean A.</t>
  </si>
  <si>
    <t>Hernandez</t>
  </si>
  <si>
    <t>Noelia</t>
  </si>
  <si>
    <t>Pena</t>
  </si>
  <si>
    <t>Jessica</t>
  </si>
  <si>
    <t>Perez</t>
  </si>
  <si>
    <t>Teresa</t>
  </si>
  <si>
    <t>Dominguez</t>
  </si>
  <si>
    <t>Rebekah</t>
  </si>
  <si>
    <t>Edwards, Jr</t>
  </si>
  <si>
    <t>Gary O.</t>
  </si>
  <si>
    <t>Garner</t>
  </si>
  <si>
    <t>Clayton R.</t>
  </si>
  <si>
    <t>Duran</t>
  </si>
  <si>
    <t>Conrad</t>
  </si>
  <si>
    <t>TBD-New</t>
  </si>
  <si>
    <t>Morgan</t>
  </si>
  <si>
    <t>Linda</t>
  </si>
  <si>
    <t>Sheffield</t>
  </si>
  <si>
    <t>Alitca</t>
  </si>
  <si>
    <t>Canava</t>
  </si>
  <si>
    <t>Yvonne</t>
  </si>
  <si>
    <t>Smith</t>
  </si>
  <si>
    <t>Charles (Gene)</t>
  </si>
  <si>
    <t>Gonzalez</t>
  </si>
  <si>
    <t xml:space="preserve">Alfred </t>
  </si>
  <si>
    <t>Bell</t>
  </si>
  <si>
    <t>Brittany</t>
  </si>
  <si>
    <t>Blakey</t>
  </si>
  <si>
    <t>Yolanda</t>
  </si>
  <si>
    <t>Martel</t>
  </si>
  <si>
    <t>Jorje</t>
  </si>
  <si>
    <t>Riddle</t>
  </si>
  <si>
    <t>Arnold H.</t>
  </si>
  <si>
    <t>Michel</t>
  </si>
  <si>
    <t>Charlie F.</t>
  </si>
  <si>
    <t>Wilson</t>
  </si>
  <si>
    <t>Henry W.</t>
  </si>
  <si>
    <t>Carroll</t>
  </si>
  <si>
    <t>Floyd</t>
  </si>
  <si>
    <t>Cates</t>
  </si>
  <si>
    <t>Rita</t>
  </si>
  <si>
    <t>Gomez</t>
  </si>
  <si>
    <t>Heriberto</t>
  </si>
  <si>
    <t>Sevier</t>
  </si>
  <si>
    <t>Brenda</t>
  </si>
  <si>
    <t>Demoville</t>
  </si>
  <si>
    <t>Karla</t>
  </si>
  <si>
    <t>Terry</t>
  </si>
  <si>
    <t>Routh</t>
  </si>
  <si>
    <t>Gloria</t>
  </si>
  <si>
    <t>Lozada</t>
  </si>
  <si>
    <t>Ramon</t>
  </si>
  <si>
    <t>Selbera</t>
  </si>
  <si>
    <t>Jose S.</t>
  </si>
  <si>
    <t>Villarreal</t>
  </si>
  <si>
    <t>Francisco</t>
  </si>
  <si>
    <t>Montez</t>
  </si>
  <si>
    <t>Tina</t>
  </si>
  <si>
    <t>Lufkin</t>
  </si>
  <si>
    <t xml:space="preserve">Terry  </t>
  </si>
  <si>
    <t>Holland</t>
  </si>
  <si>
    <t>Rhonda</t>
  </si>
  <si>
    <t>Davis</t>
  </si>
  <si>
    <t>Laura</t>
  </si>
  <si>
    <t>Sanchez</t>
  </si>
  <si>
    <t>Adriana R.</t>
  </si>
  <si>
    <t>Cardona</t>
  </si>
  <si>
    <t>Robert M.</t>
  </si>
  <si>
    <t>Avila</t>
  </si>
  <si>
    <t>Alfredo</t>
  </si>
  <si>
    <t>Fermin P.</t>
  </si>
  <si>
    <t>Martinez</t>
  </si>
  <si>
    <t>Richard</t>
  </si>
  <si>
    <t xml:space="preserve">Charles </t>
  </si>
  <si>
    <t>Gregory</t>
  </si>
  <si>
    <t>Campos</t>
  </si>
  <si>
    <t>Richard T.</t>
  </si>
  <si>
    <t>Newman</t>
  </si>
  <si>
    <t>Jimmy</t>
  </si>
  <si>
    <t>Peek</t>
  </si>
  <si>
    <t>Carol</t>
  </si>
  <si>
    <t>Maciel, Jr</t>
  </si>
  <si>
    <t>Jose</t>
  </si>
  <si>
    <t>Rohrer</t>
  </si>
  <si>
    <t>Dana</t>
  </si>
  <si>
    <t>Natividad</t>
  </si>
  <si>
    <t>Ohlemacher</t>
  </si>
  <si>
    <t>Ralph L.</t>
  </si>
  <si>
    <t>Elizondo</t>
  </si>
  <si>
    <t>Herminia</t>
  </si>
  <si>
    <t>Lovell</t>
  </si>
  <si>
    <t>Sean</t>
  </si>
  <si>
    <t>Bratton</t>
  </si>
  <si>
    <t>Don W.</t>
  </si>
  <si>
    <t>Pardo</t>
  </si>
  <si>
    <t>Amy S.</t>
  </si>
  <si>
    <t>Tambunga</t>
  </si>
  <si>
    <t>Yolanda E.</t>
  </si>
  <si>
    <t>Last Name</t>
  </si>
  <si>
    <t>First, MI Name</t>
  </si>
  <si>
    <t>HIRE DATE</t>
  </si>
  <si>
    <t>Total Concho Valley Transit District</t>
  </si>
  <si>
    <t>Budget Submitted</t>
  </si>
  <si>
    <t>Ads &amp; Promotions</t>
  </si>
  <si>
    <t>Contract - ASU</t>
  </si>
  <si>
    <t>Admin</t>
  </si>
  <si>
    <t>Sitel</t>
  </si>
  <si>
    <t>Network/MIS/Web</t>
  </si>
  <si>
    <t>Mediano</t>
  </si>
  <si>
    <t>Fred</t>
  </si>
  <si>
    <t>Prev Maint</t>
  </si>
  <si>
    <t>Operations Salary</t>
  </si>
  <si>
    <t>Drivers</t>
  </si>
  <si>
    <t>JARC Local</t>
  </si>
  <si>
    <t>Customer Service</t>
  </si>
  <si>
    <t>Salary check</t>
  </si>
  <si>
    <t>Fed ADA</t>
  </si>
  <si>
    <t>Removed</t>
  </si>
  <si>
    <t>CS Wages Overtime</t>
  </si>
  <si>
    <t>Driver Wages-Overtime</t>
  </si>
  <si>
    <t>Dispatcher Wages-Overtime</t>
  </si>
  <si>
    <t>General Overtime</t>
  </si>
  <si>
    <t>ED 5310</t>
  </si>
  <si>
    <t>Accountant I</t>
  </si>
  <si>
    <t>Accounting Technician</t>
  </si>
  <si>
    <t>CS Wages-Overtime</t>
  </si>
  <si>
    <t xml:space="preserve">Total Medical funds </t>
  </si>
  <si>
    <t>Lopez</t>
  </si>
  <si>
    <t>Eraclio</t>
  </si>
  <si>
    <t>Transportation Administrative</t>
  </si>
  <si>
    <t>Maintenance/Dispatch Supervisor</t>
  </si>
  <si>
    <t>Bus Operations Manager</t>
  </si>
  <si>
    <t>was Customer Service Supervisor position</t>
  </si>
  <si>
    <t>Was Maintenance Supervisor position</t>
  </si>
  <si>
    <t>Sub-total</t>
  </si>
  <si>
    <t>Fund balance FY 08-09</t>
  </si>
  <si>
    <t>Fund balance FY 11-13</t>
  </si>
  <si>
    <t>Urban 5 Year deficit</t>
  </si>
  <si>
    <t>Rural 5 Year deficit</t>
  </si>
  <si>
    <t>Actual Deficit</t>
  </si>
  <si>
    <t>rate</t>
  </si>
  <si>
    <t xml:space="preserve">hours </t>
  </si>
  <si>
    <t>a</t>
  </si>
  <si>
    <t>Revised Budget</t>
  </si>
  <si>
    <t>Indirect % of Award</t>
  </si>
  <si>
    <t>Bank of Mertzon CD</t>
  </si>
  <si>
    <t>Multi-Modal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</si>
</sst>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u val="singleAccounting"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4" applyNumberFormat="0" applyAlignment="0" applyProtection="0"/>
    <xf numFmtId="0" fontId="13" fillId="6" borderId="5" applyNumberFormat="0" applyAlignment="0" applyProtection="0"/>
    <xf numFmtId="0" fontId="5" fillId="6" borderId="4" applyNumberFormat="0" applyAlignment="0" applyProtection="0"/>
    <xf numFmtId="0" fontId="11" fillId="0" borderId="6" applyNumberFormat="0" applyFill="0" applyAlignment="0" applyProtection="0"/>
    <xf numFmtId="0" fontId="6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20" fillId="0" borderId="0">
      <alignment vertical="top"/>
    </xf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10" fontId="20" fillId="0" borderId="0" applyFont="0" applyFill="0" applyBorder="0" applyAlignment="0" applyProtection="0"/>
    <xf numFmtId="0" fontId="20" fillId="0" borderId="12" applyNumberFormat="0" applyFont="0" applyBorder="0" applyAlignment="0" applyProtection="0"/>
    <xf numFmtId="0" fontId="20" fillId="0" borderId="0">
      <alignment vertical="top"/>
    </xf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>
      <alignment vertical="top"/>
    </xf>
    <xf numFmtId="4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3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10" fontId="24" fillId="0" borderId="0" applyFont="0" applyFill="0" applyBorder="0" applyAlignment="0" applyProtection="0"/>
    <xf numFmtId="0" fontId="24" fillId="0" borderId="12" applyNumberFormat="0" applyFon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19" fillId="0" borderId="11" xfId="2" applyFont="1" applyFill="1" applyBorder="1" applyAlignment="1">
      <alignment horizontal="right"/>
    </xf>
    <xf numFmtId="0" fontId="17" fillId="0" borderId="0" xfId="2" applyFont="1" applyFill="1" applyAlignment="1">
      <alignment horizontal="left" wrapText="1"/>
    </xf>
    <xf numFmtId="0" fontId="17" fillId="0" borderId="0" xfId="2" applyFont="1" applyFill="1" applyBorder="1" applyAlignment="1">
      <alignment horizontal="left" wrapText="1"/>
    </xf>
    <xf numFmtId="0" fontId="19" fillId="0" borderId="11" xfId="2" applyFont="1" applyFill="1" applyBorder="1" applyAlignment="1">
      <alignment horizontal="left" wrapText="1"/>
    </xf>
    <xf numFmtId="43" fontId="17" fillId="0" borderId="0" xfId="3" applyFont="1" applyFill="1" applyAlignment="1">
      <alignment horizontal="center"/>
    </xf>
    <xf numFmtId="0" fontId="19" fillId="0" borderId="0" xfId="49" applyFont="1" applyFill="1" applyAlignment="1"/>
    <xf numFmtId="0" fontId="17" fillId="0" borderId="0" xfId="49" applyFont="1" applyFill="1" applyAlignment="1"/>
    <xf numFmtId="43" fontId="17" fillId="0" borderId="0" xfId="3" applyFont="1" applyFill="1" applyBorder="1" applyAlignment="1">
      <alignment horizontal="center"/>
    </xf>
    <xf numFmtId="0" fontId="17" fillId="0" borderId="0" xfId="2" applyFont="1" applyFill="1" applyAlignment="1"/>
    <xf numFmtId="43" fontId="16" fillId="0" borderId="0" xfId="3" applyFont="1" applyFill="1" applyAlignment="1">
      <alignment horizontal="center"/>
    </xf>
    <xf numFmtId="0" fontId="19" fillId="0" borderId="0" xfId="2" applyFont="1" applyFill="1" applyAlignment="1"/>
    <xf numFmtId="43" fontId="17" fillId="0" borderId="0" xfId="3" quotePrefix="1" applyFont="1" applyFill="1" applyAlignment="1">
      <alignment horizontal="center"/>
    </xf>
    <xf numFmtId="0" fontId="17" fillId="0" borderId="11" xfId="2" applyFont="1" applyFill="1" applyBorder="1" applyAlignment="1"/>
    <xf numFmtId="43" fontId="19" fillId="0" borderId="11" xfId="3" applyFont="1" applyFill="1" applyBorder="1" applyAlignment="1">
      <alignment horizontal="center"/>
    </xf>
    <xf numFmtId="43" fontId="17" fillId="0" borderId="10" xfId="3" applyFont="1" applyFill="1" applyBorder="1" applyAlignment="1">
      <alignment horizontal="center"/>
    </xf>
    <xf numFmtId="43" fontId="17" fillId="0" borderId="0" xfId="1" applyFont="1" applyFill="1" applyAlignment="1">
      <alignment horizontal="center"/>
    </xf>
    <xf numFmtId="43" fontId="16" fillId="0" borderId="0" xfId="1" applyFont="1" applyFill="1" applyAlignment="1">
      <alignment horizontal="center"/>
    </xf>
    <xf numFmtId="43" fontId="17" fillId="0" borderId="0" xfId="1" quotePrefix="1" applyFont="1" applyFill="1" applyAlignment="1">
      <alignment horizontal="center"/>
    </xf>
    <xf numFmtId="43" fontId="17" fillId="0" borderId="0" xfId="1" applyFont="1" applyFill="1" applyBorder="1" applyAlignment="1">
      <alignment horizontal="center"/>
    </xf>
    <xf numFmtId="43" fontId="17" fillId="0" borderId="0" xfId="1" applyFont="1" applyFill="1" applyAlignment="1">
      <alignment horizontal="right"/>
    </xf>
    <xf numFmtId="0" fontId="17" fillId="0" borderId="0" xfId="78" applyFont="1" applyFill="1" applyAlignment="1">
      <alignment horizontal="right"/>
    </xf>
    <xf numFmtId="0" fontId="17" fillId="0" borderId="0" xfId="78" applyFont="1" applyFill="1" applyAlignment="1"/>
    <xf numFmtId="0" fontId="17" fillId="0" borderId="0" xfId="2" applyFont="1" applyFill="1" applyAlignment="1">
      <alignment horizontal="left" vertical="top" wrapText="1"/>
    </xf>
    <xf numFmtId="0" fontId="16" fillId="0" borderId="0" xfId="49" applyFont="1" applyFill="1" applyAlignment="1">
      <alignment horizontal="center" wrapText="1"/>
    </xf>
    <xf numFmtId="40" fontId="16" fillId="0" borderId="0" xfId="49" applyNumberFormat="1" applyFont="1" applyFill="1" applyAlignment="1">
      <alignment horizontal="center" wrapText="1"/>
    </xf>
    <xf numFmtId="0" fontId="17" fillId="0" borderId="0" xfId="2" applyFont="1" applyFill="1"/>
    <xf numFmtId="0" fontId="19" fillId="0" borderId="0" xfId="49" applyFont="1" applyFill="1"/>
    <xf numFmtId="0" fontId="17" fillId="0" borderId="0" xfId="49" applyFont="1" applyFill="1"/>
    <xf numFmtId="0" fontId="19" fillId="0" borderId="0" xfId="2" applyFont="1" applyFill="1"/>
    <xf numFmtId="0" fontId="17" fillId="0" borderId="11" xfId="2" applyFont="1" applyFill="1" applyBorder="1"/>
    <xf numFmtId="0" fontId="19" fillId="0" borderId="11" xfId="2" applyFont="1" applyFill="1" applyBorder="1" applyAlignment="1">
      <alignment horizontal="right" vertical="top"/>
    </xf>
    <xf numFmtId="43" fontId="19" fillId="0" borderId="11" xfId="79" applyFont="1" applyFill="1" applyBorder="1"/>
    <xf numFmtId="0" fontId="17" fillId="0" borderId="0" xfId="2" applyFont="1" applyFill="1" applyBorder="1" applyAlignment="1">
      <alignment horizontal="left" vertical="top" wrapText="1"/>
    </xf>
    <xf numFmtId="43" fontId="17" fillId="0" borderId="10" xfId="79" applyFont="1" applyFill="1" applyBorder="1"/>
    <xf numFmtId="0" fontId="19" fillId="0" borderId="11" xfId="2" applyFont="1" applyFill="1" applyBorder="1" applyAlignment="1">
      <alignment horizontal="left" vertical="top" wrapText="1"/>
    </xf>
    <xf numFmtId="43" fontId="17" fillId="0" borderId="0" xfId="82" applyFont="1" applyFill="1" applyBorder="1"/>
    <xf numFmtId="43" fontId="17" fillId="0" borderId="0" xfId="82" quotePrefix="1" applyFont="1" applyFill="1" applyAlignment="1">
      <alignment horizontal="center"/>
    </xf>
    <xf numFmtId="43" fontId="17" fillId="0" borderId="0" xfId="50" applyFont="1" applyFill="1" applyAlignment="1">
      <alignment horizontal="center"/>
    </xf>
    <xf numFmtId="40" fontId="17" fillId="0" borderId="0" xfId="49" applyNumberFormat="1" applyFont="1" applyFill="1" applyAlignment="1">
      <alignment horizontal="center"/>
    </xf>
    <xf numFmtId="13" fontId="17" fillId="0" borderId="0" xfId="51" quotePrefix="1" applyNumberFormat="1" applyFont="1" applyFill="1" applyAlignment="1">
      <alignment horizontal="center"/>
    </xf>
    <xf numFmtId="43" fontId="17" fillId="0" borderId="0" xfId="82" applyFont="1" applyFill="1"/>
    <xf numFmtId="0" fontId="17" fillId="0" borderId="0" xfId="2" applyFont="1"/>
    <xf numFmtId="0" fontId="17" fillId="0" borderId="0" xfId="0" applyFont="1"/>
    <xf numFmtId="43" fontId="17" fillId="0" borderId="0" xfId="0" applyNumberFormat="1" applyFont="1"/>
    <xf numFmtId="43" fontId="2" fillId="0" borderId="0" xfId="1" applyFont="1"/>
    <xf numFmtId="43" fontId="0" fillId="0" borderId="0" xfId="1" applyFont="1"/>
    <xf numFmtId="14" fontId="17" fillId="0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53" applyFont="1" applyFill="1" applyAlignment="1">
      <alignment horizontal="left" vertical="top" wrapText="1"/>
    </xf>
    <xf numFmtId="14" fontId="20" fillId="0" borderId="0" xfId="53" applyNumberFormat="1" applyFill="1" applyAlignment="1"/>
    <xf numFmtId="7" fontId="20" fillId="0" borderId="0" xfId="53" applyNumberFormat="1" applyFont="1" applyFill="1" applyAlignment="1"/>
    <xf numFmtId="7" fontId="20" fillId="0" borderId="0" xfId="53" applyNumberFormat="1" applyFill="1" applyAlignment="1"/>
    <xf numFmtId="0" fontId="0" fillId="0" borderId="0" xfId="0" applyFill="1"/>
    <xf numFmtId="0" fontId="30" fillId="0" borderId="0" xfId="53" applyFont="1" applyFill="1" applyBorder="1" applyAlignment="1">
      <alignment horizontal="center"/>
    </xf>
    <xf numFmtId="14" fontId="29" fillId="0" borderId="0" xfId="53" applyNumberFormat="1" applyFont="1" applyFill="1" applyAlignment="1">
      <alignment horizontal="right" vertical="top" wrapText="1"/>
    </xf>
    <xf numFmtId="0" fontId="20" fillId="0" borderId="0" xfId="53" applyFill="1" applyAlignment="1"/>
    <xf numFmtId="0" fontId="31" fillId="0" borderId="0" xfId="53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/>
    <xf numFmtId="43" fontId="0" fillId="0" borderId="10" xfId="1" applyFont="1" applyBorder="1"/>
    <xf numFmtId="0" fontId="32" fillId="0" borderId="0" xfId="0" applyFont="1"/>
    <xf numFmtId="0" fontId="2" fillId="0" borderId="0" xfId="2" applyFont="1"/>
    <xf numFmtId="43" fontId="32" fillId="0" borderId="0" xfId="1" applyFont="1"/>
    <xf numFmtId="43" fontId="2" fillId="0" borderId="0" xfId="2" applyNumberFormat="1" applyFont="1"/>
    <xf numFmtId="43" fontId="0" fillId="0" borderId="0" xfId="1" applyFont="1" applyFill="1"/>
    <xf numFmtId="43" fontId="32" fillId="0" borderId="0" xfId="0" applyNumberFormat="1" applyFont="1"/>
    <xf numFmtId="0" fontId="20" fillId="0" borderId="0" xfId="53" applyFill="1" applyAlignment="1">
      <alignment horizontal="right"/>
    </xf>
    <xf numFmtId="43" fontId="0" fillId="0" borderId="10" xfId="1" applyFont="1" applyFill="1" applyBorder="1"/>
    <xf numFmtId="14" fontId="20" fillId="0" borderId="0" xfId="53" applyNumberFormat="1" applyFill="1" applyAlignment="1">
      <alignment horizontal="right"/>
    </xf>
    <xf numFmtId="43" fontId="0" fillId="0" borderId="10" xfId="0" applyNumberFormat="1" applyBorder="1"/>
    <xf numFmtId="14" fontId="29" fillId="0" borderId="0" xfId="53" applyNumberFormat="1" applyFont="1" applyFill="1" applyAlignment="1">
      <alignment horizontal="right" vertical="top"/>
    </xf>
    <xf numFmtId="0" fontId="17" fillId="0" borderId="13" xfId="0" applyFont="1" applyBorder="1" applyAlignment="1">
      <alignment horizontal="center"/>
    </xf>
    <xf numFmtId="43" fontId="17" fillId="0" borderId="14" xfId="1" applyFont="1" applyFill="1" applyBorder="1" applyAlignment="1">
      <alignment horizontal="right"/>
    </xf>
    <xf numFmtId="43" fontId="17" fillId="0" borderId="15" xfId="1" applyFont="1" applyFill="1" applyBorder="1" applyAlignment="1">
      <alignment horizontal="right"/>
    </xf>
    <xf numFmtId="43" fontId="19" fillId="35" borderId="11" xfId="3" applyFont="1" applyFill="1" applyBorder="1" applyAlignment="1">
      <alignment horizontal="center"/>
    </xf>
    <xf numFmtId="43" fontId="17" fillId="35" borderId="0" xfId="1" quotePrefix="1" applyFont="1" applyFill="1" applyAlignment="1">
      <alignment horizontal="center"/>
    </xf>
    <xf numFmtId="43" fontId="32" fillId="35" borderId="0" xfId="1" applyFont="1" applyFill="1"/>
    <xf numFmtId="43" fontId="17" fillId="36" borderId="0" xfId="1" quotePrefix="1" applyFont="1" applyFill="1" applyAlignment="1">
      <alignment horizontal="center"/>
    </xf>
    <xf numFmtId="43" fontId="32" fillId="37" borderId="0" xfId="1" applyFont="1" applyFill="1"/>
    <xf numFmtId="43" fontId="17" fillId="37" borderId="10" xfId="3" applyFont="1" applyFill="1" applyBorder="1" applyAlignment="1">
      <alignment horizontal="center"/>
    </xf>
    <xf numFmtId="14" fontId="19" fillId="38" borderId="0" xfId="0" applyNumberFormat="1" applyFont="1" applyFill="1" applyAlignment="1">
      <alignment horizontal="center"/>
    </xf>
    <xf numFmtId="43" fontId="17" fillId="38" borderId="0" xfId="1" quotePrefix="1" applyFont="1" applyFill="1" applyAlignment="1">
      <alignment horizontal="center"/>
    </xf>
    <xf numFmtId="43" fontId="17" fillId="34" borderId="0" xfId="1" applyFont="1" applyFill="1" applyBorder="1" applyAlignment="1">
      <alignment horizontal="center"/>
    </xf>
    <xf numFmtId="164" fontId="17" fillId="0" borderId="0" xfId="0" applyNumberFormat="1" applyFont="1"/>
    <xf numFmtId="43" fontId="17" fillId="0" borderId="0" xfId="1" applyFont="1"/>
    <xf numFmtId="0" fontId="17" fillId="39" borderId="0" xfId="2" applyFont="1" applyFill="1" applyAlignment="1">
      <alignment horizontal="left" vertical="top" wrapText="1"/>
    </xf>
    <xf numFmtId="43" fontId="17" fillId="39" borderId="0" xfId="82" applyFont="1" applyFill="1"/>
    <xf numFmtId="0" fontId="32" fillId="39" borderId="0" xfId="0" applyFont="1" applyFill="1"/>
    <xf numFmtId="43" fontId="17" fillId="39" borderId="0" xfId="82" quotePrefix="1" applyFont="1" applyFill="1" applyAlignment="1">
      <alignment horizontal="center"/>
    </xf>
    <xf numFmtId="43" fontId="19" fillId="38" borderId="11" xfId="3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43" fontId="33" fillId="0" borderId="0" xfId="1" quotePrefix="1" applyFont="1" applyFill="1" applyAlignment="1">
      <alignment horizontal="center"/>
    </xf>
    <xf numFmtId="43" fontId="34" fillId="0" borderId="0" xfId="1" applyFont="1"/>
    <xf numFmtId="43" fontId="15" fillId="0" borderId="0" xfId="1" applyFont="1" applyAlignment="1">
      <alignment horizontal="right"/>
    </xf>
    <xf numFmtId="43" fontId="32" fillId="0" borderId="10" xfId="1" applyFont="1" applyBorder="1"/>
    <xf numFmtId="43" fontId="32" fillId="0" borderId="10" xfId="0" applyNumberFormat="1" applyFont="1" applyBorder="1"/>
    <xf numFmtId="43" fontId="17" fillId="0" borderId="0" xfId="2" applyNumberFormat="1" applyFont="1"/>
    <xf numFmtId="0" fontId="0" fillId="33" borderId="0" xfId="0" applyFill="1"/>
    <xf numFmtId="7" fontId="20" fillId="33" borderId="0" xfId="53" applyNumberFormat="1" applyFont="1" applyFill="1" applyAlignment="1"/>
    <xf numFmtId="7" fontId="20" fillId="33" borderId="0" xfId="53" applyNumberFormat="1" applyFill="1" applyAlignment="1"/>
    <xf numFmtId="0" fontId="20" fillId="33" borderId="0" xfId="53" applyFill="1" applyAlignment="1"/>
    <xf numFmtId="43" fontId="0" fillId="33" borderId="0" xfId="1" applyFont="1" applyFill="1"/>
    <xf numFmtId="0" fontId="29" fillId="33" borderId="0" xfId="53" applyFont="1" applyFill="1" applyAlignment="1">
      <alignment horizontal="left" vertical="top" wrapText="1"/>
    </xf>
    <xf numFmtId="14" fontId="20" fillId="33" borderId="0" xfId="53" applyNumberFormat="1" applyFill="1" applyAlignment="1"/>
    <xf numFmtId="0" fontId="0" fillId="40" borderId="0" xfId="0" applyFill="1"/>
    <xf numFmtId="0" fontId="29" fillId="40" borderId="0" xfId="53" applyFont="1" applyFill="1" applyAlignment="1">
      <alignment horizontal="left" vertical="top" wrapText="1"/>
    </xf>
    <xf numFmtId="14" fontId="20" fillId="40" borderId="0" xfId="53" applyNumberFormat="1" applyFill="1" applyAlignment="1"/>
    <xf numFmtId="43" fontId="0" fillId="40" borderId="0" xfId="1" applyFont="1" applyFill="1"/>
    <xf numFmtId="14" fontId="29" fillId="40" borderId="0" xfId="53" applyNumberFormat="1" applyFont="1" applyFill="1" applyAlignment="1">
      <alignment horizontal="right" vertical="top" wrapText="1"/>
    </xf>
    <xf numFmtId="14" fontId="29" fillId="33" borderId="0" xfId="53" applyNumberFormat="1" applyFont="1" applyFill="1" applyAlignment="1">
      <alignment horizontal="right" vertical="top" wrapText="1"/>
    </xf>
    <xf numFmtId="43" fontId="17" fillId="0" borderId="0" xfId="0" applyNumberFormat="1" applyFont="1" applyFill="1"/>
    <xf numFmtId="43" fontId="32" fillId="40" borderId="0" xfId="0" applyNumberFormat="1" applyFont="1" applyFill="1"/>
    <xf numFmtId="43" fontId="32" fillId="41" borderId="0" xfId="1" applyFont="1" applyFill="1"/>
    <xf numFmtId="43" fontId="17" fillId="41" borderId="10" xfId="3" applyFont="1" applyFill="1" applyBorder="1" applyAlignment="1">
      <alignment horizontal="center"/>
    </xf>
    <xf numFmtId="14" fontId="29" fillId="0" borderId="0" xfId="53" applyNumberFormat="1" applyFont="1" applyFill="1" applyBorder="1" applyAlignment="1">
      <alignment horizontal="right" vertical="top" wrapText="1"/>
    </xf>
    <xf numFmtId="43" fontId="17" fillId="0" borderId="10" xfId="1" applyFont="1" applyFill="1" applyBorder="1" applyAlignment="1">
      <alignment horizontal="center"/>
    </xf>
    <xf numFmtId="43" fontId="17" fillId="0" borderId="10" xfId="0" applyNumberFormat="1" applyFont="1" applyBorder="1"/>
    <xf numFmtId="43" fontId="0" fillId="0" borderId="0" xfId="0" applyNumberFormat="1"/>
    <xf numFmtId="10" fontId="0" fillId="0" borderId="0" xfId="83" applyNumberFormat="1" applyFont="1"/>
    <xf numFmtId="43" fontId="17" fillId="0" borderId="0" xfId="51" applyNumberFormat="1" applyFont="1" applyFill="1" applyAlignment="1">
      <alignment horizontal="center"/>
    </xf>
    <xf numFmtId="43" fontId="17" fillId="0" borderId="0" xfId="82" applyFont="1" applyFill="1" applyAlignment="1">
      <alignment horizontal="center"/>
    </xf>
    <xf numFmtId="10" fontId="32" fillId="0" borderId="0" xfId="83" applyNumberFormat="1" applyFont="1"/>
    <xf numFmtId="0" fontId="32" fillId="0" borderId="0" xfId="0" applyFont="1" applyAlignment="1">
      <alignment horizontal="right"/>
    </xf>
    <xf numFmtId="0" fontId="32" fillId="33" borderId="0" xfId="0" applyFont="1" applyFill="1"/>
    <xf numFmtId="43" fontId="32" fillId="33" borderId="0" xfId="1" applyFont="1" applyFill="1"/>
    <xf numFmtId="0" fontId="35" fillId="33" borderId="0" xfId="0" applyFont="1" applyFill="1" applyAlignment="1">
      <alignment horizontal="center"/>
    </xf>
    <xf numFmtId="43" fontId="17" fillId="33" borderId="0" xfId="1" applyFont="1" applyFill="1" applyAlignment="1">
      <alignment horizontal="center"/>
    </xf>
    <xf numFmtId="43" fontId="16" fillId="33" borderId="0" xfId="1" applyFont="1" applyFill="1" applyAlignment="1">
      <alignment horizontal="center"/>
    </xf>
    <xf numFmtId="43" fontId="17" fillId="33" borderId="0" xfId="1" quotePrefix="1" applyFont="1" applyFill="1" applyAlignment="1">
      <alignment horizontal="center"/>
    </xf>
    <xf numFmtId="43" fontId="19" fillId="33" borderId="11" xfId="3" applyFont="1" applyFill="1" applyBorder="1" applyAlignment="1">
      <alignment horizontal="center"/>
    </xf>
    <xf numFmtId="43" fontId="17" fillId="33" borderId="0" xfId="3" applyFont="1" applyFill="1" applyAlignment="1">
      <alignment horizontal="center"/>
    </xf>
    <xf numFmtId="43" fontId="17" fillId="33" borderId="10" xfId="3" applyFont="1" applyFill="1" applyBorder="1" applyAlignment="1">
      <alignment horizontal="center"/>
    </xf>
    <xf numFmtId="43" fontId="17" fillId="33" borderId="0" xfId="82" applyFont="1" applyFill="1" applyBorder="1"/>
    <xf numFmtId="43" fontId="17" fillId="33" borderId="10" xfId="79" applyFont="1" applyFill="1" applyBorder="1"/>
    <xf numFmtId="10" fontId="32" fillId="33" borderId="0" xfId="83" applyNumberFormat="1" applyFont="1" applyFill="1"/>
  </cellXfs>
  <cellStyles count="84">
    <cellStyle name="20% - Accent1 2" xfId="26"/>
    <cellStyle name="20% - Accent2 2" xfId="30"/>
    <cellStyle name="20% - Accent3 2" xfId="34"/>
    <cellStyle name="20% - Accent4 2" xfId="38"/>
    <cellStyle name="20% - Accent5 2" xfId="42"/>
    <cellStyle name="20% - Accent6 2" xfId="46"/>
    <cellStyle name="40% - Accent1 2" xfId="27"/>
    <cellStyle name="40% - Accent2 2" xfId="31"/>
    <cellStyle name="40% - Accent3 2" xfId="35"/>
    <cellStyle name="40% - Accent4 2" xfId="39"/>
    <cellStyle name="40% - Accent5 2" xfId="43"/>
    <cellStyle name="40% - Accent6 2" xfId="47"/>
    <cellStyle name="60% - Accent1 2" xfId="28"/>
    <cellStyle name="60% - Accent2 2" xfId="32"/>
    <cellStyle name="60% - Accent3 2" xfId="36"/>
    <cellStyle name="60% - Accent4 2" xfId="40"/>
    <cellStyle name="60% - Accent5 2" xfId="44"/>
    <cellStyle name="60% - Accent6 2" xfId="48"/>
    <cellStyle name="Accent1 2" xfId="25"/>
    <cellStyle name="Accent2 2" xfId="29"/>
    <cellStyle name="Accent3 2" xfId="33"/>
    <cellStyle name="Accent4 2" xfId="37"/>
    <cellStyle name="Accent5 2" xfId="41"/>
    <cellStyle name="Accent6 2" xfId="45"/>
    <cellStyle name="Bad 2" xfId="14"/>
    <cellStyle name="Calculation 2" xfId="18"/>
    <cellStyle name="Check Cell 2" xfId="20"/>
    <cellStyle name="Comma" xfId="1" builtinId="3"/>
    <cellStyle name="Comma [0] 2" xfId="4"/>
    <cellStyle name="Comma 2" xfId="50"/>
    <cellStyle name="Comma 2 2" xfId="54"/>
    <cellStyle name="Comma 3" xfId="51"/>
    <cellStyle name="Comma 3 2" xfId="69"/>
    <cellStyle name="Comma 4" xfId="67"/>
    <cellStyle name="Comma 5" xfId="3"/>
    <cellStyle name="Comma 6" xfId="79"/>
    <cellStyle name="Comma 7" xfId="82"/>
    <cellStyle name="Comma0" xfId="55"/>
    <cellStyle name="Comma0 2" xfId="70"/>
    <cellStyle name="Currency [0] 2" xfId="6"/>
    <cellStyle name="Currency 2" xfId="5"/>
    <cellStyle name="Currency 3" xfId="80"/>
    <cellStyle name="Currency 4" xfId="81"/>
    <cellStyle name="Currency0" xfId="56"/>
    <cellStyle name="Currency0 2" xfId="71"/>
    <cellStyle name="Date" xfId="57"/>
    <cellStyle name="Date 2" xfId="72"/>
    <cellStyle name="Explanatory Text 2" xfId="23"/>
    <cellStyle name="Fixed" xfId="58"/>
    <cellStyle name="Fixed 2" xfId="73"/>
    <cellStyle name="Good 2" xfId="13"/>
    <cellStyle name="Heading 1 2" xfId="59"/>
    <cellStyle name="Heading 1 3" xfId="64"/>
    <cellStyle name="Heading 1 4" xfId="74"/>
    <cellStyle name="Heading 1 5" xfId="9"/>
    <cellStyle name="Heading 2 2" xfId="60"/>
    <cellStyle name="Heading 2 3" xfId="65"/>
    <cellStyle name="Heading 2 4" xfId="75"/>
    <cellStyle name="Heading 2 5" xfId="10"/>
    <cellStyle name="Heading 3 2" xfId="11"/>
    <cellStyle name="Heading 4 2" xfId="12"/>
    <cellStyle name="Input 2" xfId="16"/>
    <cellStyle name="Linked Cell 2" xfId="19"/>
    <cellStyle name="Neutral 2" xfId="15"/>
    <cellStyle name="Normal" xfId="0" builtinId="0"/>
    <cellStyle name="Normal 2" xfId="49"/>
    <cellStyle name="Normal 2 2" xfId="53"/>
    <cellStyle name="Normal 3" xfId="63"/>
    <cellStyle name="Normal 4" xfId="68"/>
    <cellStyle name="Normal 5" xfId="52"/>
    <cellStyle name="Normal 6" xfId="2"/>
    <cellStyle name="Normal_Sheet1" xfId="78"/>
    <cellStyle name="Note 2" xfId="22"/>
    <cellStyle name="Output 2" xfId="17"/>
    <cellStyle name="Percent" xfId="83" builtinId="5"/>
    <cellStyle name="Percent 2" xfId="61"/>
    <cellStyle name="Percent 3" xfId="76"/>
    <cellStyle name="Percent 4" xfId="66"/>
    <cellStyle name="Percent 5" xfId="7"/>
    <cellStyle name="Title 2" xfId="8"/>
    <cellStyle name="Total 2" xfId="62"/>
    <cellStyle name="Total 3" xfId="77"/>
    <cellStyle name="Total 4" xfId="24"/>
    <cellStyle name="Warning Text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0"/>
  <sheetViews>
    <sheetView tabSelected="1" zoomScaleNormal="10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U94" sqref="U94"/>
    </sheetView>
  </sheetViews>
  <sheetFormatPr defaultColWidth="8.85546875" defaultRowHeight="11.25" x14ac:dyDescent="0.2"/>
  <cols>
    <col min="1" max="1" width="8.85546875" style="63"/>
    <col min="2" max="2" width="24" style="63" customWidth="1"/>
    <col min="3" max="3" width="14.28515625" style="43" bestFit="1" customWidth="1"/>
    <col min="4" max="4" width="13.7109375" style="43" bestFit="1" customWidth="1"/>
    <col min="5" max="5" width="14.7109375" style="43" bestFit="1" customWidth="1"/>
    <col min="6" max="6" width="14.28515625" style="43" bestFit="1" customWidth="1"/>
    <col min="7" max="7" width="13.7109375" style="43" bestFit="1" customWidth="1"/>
    <col min="8" max="8" width="3.7109375" style="43" customWidth="1"/>
    <col min="9" max="10" width="14.28515625" style="43" bestFit="1" customWidth="1"/>
    <col min="11" max="11" width="9.7109375" style="43" customWidth="1"/>
    <col min="12" max="13" width="12.28515625" style="43" bestFit="1" customWidth="1"/>
    <col min="14" max="14" width="12.5703125" style="43" bestFit="1" customWidth="1"/>
    <col min="15" max="15" width="11.5703125" style="43" bestFit="1" customWidth="1"/>
    <col min="16" max="16" width="12.7109375" style="43" bestFit="1" customWidth="1"/>
    <col min="17" max="17" width="9" style="43" bestFit="1" customWidth="1"/>
    <col min="18" max="18" width="10.28515625" style="43" bestFit="1" customWidth="1"/>
    <col min="19" max="19" width="3.7109375" style="43" customWidth="1"/>
    <col min="20" max="20" width="9.5703125" style="65" bestFit="1" customWidth="1"/>
    <col min="21" max="21" width="9.7109375" style="65" bestFit="1" customWidth="1"/>
    <col min="22" max="22" width="8.85546875" style="63"/>
    <col min="23" max="23" width="9.7109375" style="63" bestFit="1" customWidth="1"/>
    <col min="24" max="16384" width="8.85546875" style="63"/>
  </cols>
  <sheetData>
    <row r="1" spans="1:22" x14ac:dyDescent="0.2">
      <c r="A1" s="6" t="s">
        <v>0</v>
      </c>
      <c r="B1" s="7"/>
      <c r="C1" s="5" t="s">
        <v>1</v>
      </c>
      <c r="D1" s="5" t="s">
        <v>2</v>
      </c>
      <c r="E1" s="5" t="s">
        <v>3</v>
      </c>
      <c r="F1" s="16" t="s">
        <v>75</v>
      </c>
      <c r="G1" s="16" t="s">
        <v>95</v>
      </c>
      <c r="I1" s="16" t="s">
        <v>96</v>
      </c>
      <c r="N1" s="83">
        <v>41305</v>
      </c>
    </row>
    <row r="2" spans="1:22" ht="13.5" x14ac:dyDescent="0.35">
      <c r="A2" s="24"/>
      <c r="B2" s="25"/>
      <c r="C2" s="10" t="s">
        <v>4</v>
      </c>
      <c r="D2" s="10" t="s">
        <v>4</v>
      </c>
      <c r="E2" s="10" t="s">
        <v>4</v>
      </c>
      <c r="F2" s="17" t="s">
        <v>4</v>
      </c>
      <c r="G2" s="17" t="s">
        <v>4</v>
      </c>
      <c r="I2" s="17" t="s">
        <v>97</v>
      </c>
      <c r="J2" s="17" t="s">
        <v>98</v>
      </c>
      <c r="K2" s="17" t="s">
        <v>284</v>
      </c>
      <c r="L2" s="17" t="s">
        <v>99</v>
      </c>
      <c r="M2" s="17" t="s">
        <v>100</v>
      </c>
      <c r="N2" s="17" t="s">
        <v>6</v>
      </c>
      <c r="O2" s="17" t="s">
        <v>281</v>
      </c>
      <c r="P2" s="17" t="s">
        <v>112</v>
      </c>
      <c r="Q2" s="17" t="s">
        <v>113</v>
      </c>
      <c r="R2" s="17" t="s">
        <v>101</v>
      </c>
      <c r="T2" s="65" t="s">
        <v>106</v>
      </c>
      <c r="U2" s="65" t="s">
        <v>98</v>
      </c>
      <c r="V2" s="63" t="s">
        <v>290</v>
      </c>
    </row>
    <row r="3" spans="1:22" x14ac:dyDescent="0.2">
      <c r="A3" s="11" t="s">
        <v>5</v>
      </c>
      <c r="B3" s="64"/>
      <c r="C3" s="12"/>
      <c r="D3" s="12"/>
      <c r="E3" s="12"/>
      <c r="F3" s="18"/>
      <c r="G3" s="18"/>
      <c r="I3" s="18"/>
    </row>
    <row r="4" spans="1:22" x14ac:dyDescent="0.2">
      <c r="A4" s="64"/>
      <c r="B4" s="9" t="s">
        <v>129</v>
      </c>
      <c r="C4" s="12">
        <f>154385.46+992726</f>
        <v>1147111.46</v>
      </c>
      <c r="D4" s="12">
        <f>32590+940541</f>
        <v>973131</v>
      </c>
      <c r="E4" s="12">
        <f>559+162083+1226159</f>
        <v>1388801</v>
      </c>
      <c r="F4" s="12">
        <f>1176715+234537+11911+32052</f>
        <v>1455215</v>
      </c>
      <c r="G4" s="18">
        <v>1517552</v>
      </c>
      <c r="I4" s="18">
        <f>1319451+75256</f>
        <v>1394707</v>
      </c>
      <c r="J4" s="18">
        <f>1319451-131945+75256</f>
        <v>1262762</v>
      </c>
      <c r="K4" s="18">
        <v>131945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44">
        <f>I4-J4-K4-L4-M4-N4-O4-P4-Q4</f>
        <v>0</v>
      </c>
    </row>
    <row r="5" spans="1:22" x14ac:dyDescent="0.2">
      <c r="A5" s="64"/>
      <c r="B5" s="9" t="s">
        <v>6</v>
      </c>
      <c r="C5" s="5">
        <v>0</v>
      </c>
      <c r="D5" s="5">
        <v>24144.1</v>
      </c>
      <c r="E5" s="5">
        <v>41069.300000000003</v>
      </c>
      <c r="F5" s="5">
        <f>3464.13+13366.22</f>
        <v>16830.349999999999</v>
      </c>
      <c r="G5" s="18">
        <v>0</v>
      </c>
      <c r="I5" s="84">
        <v>150000</v>
      </c>
      <c r="J5" s="18">
        <v>0</v>
      </c>
      <c r="K5" s="18">
        <v>0</v>
      </c>
      <c r="L5" s="18">
        <v>0</v>
      </c>
      <c r="M5" s="18">
        <v>0</v>
      </c>
      <c r="N5" s="84">
        <v>150000</v>
      </c>
      <c r="O5" s="18">
        <v>0</v>
      </c>
      <c r="P5" s="18">
        <v>0</v>
      </c>
      <c r="Q5" s="18">
        <v>0</v>
      </c>
      <c r="R5" s="113">
        <f t="shared" ref="R5:R27" si="0">I5-J5-K5-L5-M5-N5-O5-P5-Q5</f>
        <v>0</v>
      </c>
    </row>
    <row r="6" spans="1:22" x14ac:dyDescent="0.2">
      <c r="A6" s="64"/>
      <c r="B6" s="9" t="s">
        <v>7</v>
      </c>
      <c r="C6" s="12">
        <v>0</v>
      </c>
      <c r="D6" s="12">
        <v>0</v>
      </c>
      <c r="E6" s="12">
        <v>0</v>
      </c>
      <c r="F6" s="12">
        <v>13265.72</v>
      </c>
      <c r="G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44">
        <f t="shared" si="0"/>
        <v>0</v>
      </c>
    </row>
    <row r="7" spans="1:22" x14ac:dyDescent="0.2">
      <c r="A7" s="64"/>
      <c r="B7" s="9" t="s">
        <v>128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I7" s="18">
        <v>53000</v>
      </c>
      <c r="J7" s="18">
        <v>0</v>
      </c>
      <c r="K7" s="18">
        <v>0</v>
      </c>
      <c r="L7" s="18">
        <v>53000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44">
        <f t="shared" si="0"/>
        <v>0</v>
      </c>
    </row>
    <row r="8" spans="1:22" x14ac:dyDescent="0.2">
      <c r="A8" s="64"/>
      <c r="B8" s="9" t="s">
        <v>8</v>
      </c>
      <c r="C8" s="12">
        <v>0</v>
      </c>
      <c r="D8" s="12">
        <v>0</v>
      </c>
      <c r="E8" s="12">
        <v>0</v>
      </c>
      <c r="F8" s="12">
        <v>10738.1</v>
      </c>
      <c r="G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44">
        <f t="shared" si="0"/>
        <v>0</v>
      </c>
    </row>
    <row r="9" spans="1:22" x14ac:dyDescent="0.2">
      <c r="A9" s="64"/>
      <c r="B9" s="9" t="s">
        <v>9</v>
      </c>
      <c r="C9" s="5">
        <f>322655+715.84+346.15</f>
        <v>323716.99000000005</v>
      </c>
      <c r="D9" s="5">
        <f>3563.68+225766.14+1060.2+64622.86</f>
        <v>295012.88</v>
      </c>
      <c r="E9" s="5">
        <f>1888.2+266188</f>
        <v>268076.2</v>
      </c>
      <c r="F9" s="5">
        <f>298229+3238.94</f>
        <v>301467.94</v>
      </c>
      <c r="G9" s="18">
        <v>268884.56</v>
      </c>
      <c r="I9" s="18">
        <v>267771</v>
      </c>
      <c r="J9" s="18">
        <v>0</v>
      </c>
      <c r="K9" s="18">
        <v>0</v>
      </c>
      <c r="L9" s="18">
        <v>267771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44">
        <f t="shared" si="0"/>
        <v>0</v>
      </c>
    </row>
    <row r="10" spans="1:22" x14ac:dyDescent="0.2">
      <c r="A10" s="64"/>
      <c r="B10" s="9" t="s">
        <v>10</v>
      </c>
      <c r="C10" s="5">
        <f>0.18+32418.06+90584.45</f>
        <v>123002.69</v>
      </c>
      <c r="D10" s="5">
        <f>11183.02+43903.51+103226.85</f>
        <v>158313.38</v>
      </c>
      <c r="E10" s="5">
        <f>11747.87+112207.67</f>
        <v>123955.54</v>
      </c>
      <c r="F10" s="5">
        <f>118160.39+9887.14</f>
        <v>128047.53</v>
      </c>
      <c r="G10" s="18">
        <v>129110.9</v>
      </c>
      <c r="I10" s="18">
        <v>130000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130000</v>
      </c>
      <c r="Q10" s="18">
        <v>0</v>
      </c>
      <c r="R10" s="44">
        <f t="shared" si="0"/>
        <v>0</v>
      </c>
    </row>
    <row r="11" spans="1:22" x14ac:dyDescent="0.2">
      <c r="A11" s="64"/>
      <c r="B11" s="9" t="s">
        <v>11</v>
      </c>
      <c r="C11" s="5">
        <f>1440+200+8220</f>
        <v>9860</v>
      </c>
      <c r="D11" s="5">
        <f>2720+3470</f>
        <v>6190</v>
      </c>
      <c r="E11" s="5">
        <f>1280+7300</f>
        <v>8580</v>
      </c>
      <c r="F11" s="5">
        <f>9617+200</f>
        <v>9817</v>
      </c>
      <c r="G11" s="18">
        <v>14840</v>
      </c>
      <c r="I11" s="18">
        <v>14000</v>
      </c>
      <c r="J11" s="18">
        <v>0</v>
      </c>
      <c r="K11" s="18">
        <v>0</v>
      </c>
      <c r="L11" s="18">
        <v>0</v>
      </c>
      <c r="M11" s="18">
        <f>I11</f>
        <v>14000</v>
      </c>
      <c r="N11" s="18">
        <v>0</v>
      </c>
      <c r="O11" s="18">
        <v>0</v>
      </c>
      <c r="P11" s="18">
        <v>0</v>
      </c>
      <c r="Q11" s="18">
        <v>0</v>
      </c>
      <c r="R11" s="44">
        <f t="shared" si="0"/>
        <v>0</v>
      </c>
    </row>
    <row r="12" spans="1:22" x14ac:dyDescent="0.2">
      <c r="A12" s="64"/>
      <c r="B12" s="9" t="s">
        <v>12</v>
      </c>
      <c r="C12" s="5">
        <v>1800</v>
      </c>
      <c r="D12" s="5">
        <f>7085+20000</f>
        <v>27085</v>
      </c>
      <c r="E12" s="5">
        <f>900+7450</f>
        <v>8350</v>
      </c>
      <c r="F12" s="5">
        <v>0</v>
      </c>
      <c r="G12" s="18">
        <v>0</v>
      </c>
      <c r="I12" s="18">
        <v>8000</v>
      </c>
      <c r="J12" s="18">
        <v>0</v>
      </c>
      <c r="K12" s="18">
        <v>0</v>
      </c>
      <c r="L12" s="18">
        <v>0</v>
      </c>
      <c r="M12" s="18">
        <f>I12</f>
        <v>8000</v>
      </c>
      <c r="N12" s="18">
        <v>0</v>
      </c>
      <c r="O12" s="18">
        <v>0</v>
      </c>
      <c r="P12" s="18">
        <v>0</v>
      </c>
      <c r="Q12" s="18">
        <v>0</v>
      </c>
      <c r="R12" s="44">
        <f t="shared" si="0"/>
        <v>0</v>
      </c>
    </row>
    <row r="13" spans="1:22" x14ac:dyDescent="0.2">
      <c r="A13" s="64"/>
      <c r="B13" s="9" t="s">
        <v>13</v>
      </c>
      <c r="C13" s="5">
        <f>498.78-84752.21+11920.02+55432.89+147.04+3417.06</f>
        <v>-13336.420000000004</v>
      </c>
      <c r="D13" s="5">
        <f>178.74+48130.59+17612.75+14411.03</f>
        <v>80333.109999999986</v>
      </c>
      <c r="E13" s="5">
        <f>0.26+22963.17+28353.09+27039.53+19595.22</f>
        <v>97951.26999999999</v>
      </c>
      <c r="F13" s="5">
        <f>72163.71+2430.81+6862.5+13366.26</f>
        <v>94823.28</v>
      </c>
      <c r="G13" s="18">
        <v>147556.75</v>
      </c>
      <c r="I13" s="18">
        <f>134051.04+30000+16000+4257+1366.54-1920.24+140-20519.33+318.66</f>
        <v>163693.67000000001</v>
      </c>
      <c r="J13" s="18">
        <v>0</v>
      </c>
      <c r="K13" s="18">
        <v>0</v>
      </c>
      <c r="L13" s="18">
        <v>0</v>
      </c>
      <c r="M13" s="18">
        <f>I13-O13</f>
        <v>151884.76</v>
      </c>
      <c r="N13" s="18">
        <v>0</v>
      </c>
      <c r="O13" s="18">
        <v>11808.91</v>
      </c>
      <c r="P13" s="18">
        <v>0</v>
      </c>
      <c r="Q13" s="18">
        <v>0</v>
      </c>
      <c r="R13" s="44">
        <f t="shared" si="0"/>
        <v>3.637978807091713E-12</v>
      </c>
    </row>
    <row r="14" spans="1:22" x14ac:dyDescent="0.2">
      <c r="A14" s="64"/>
      <c r="B14" s="9" t="s">
        <v>14</v>
      </c>
      <c r="C14" s="5">
        <f>1165.47+474.05+824</f>
        <v>2463.52</v>
      </c>
      <c r="D14" s="5">
        <f>660.33+19531.68</f>
        <v>20192.010000000002</v>
      </c>
      <c r="E14" s="5">
        <f>5843.22</f>
        <v>5843.22</v>
      </c>
      <c r="F14" s="5">
        <f>12068.87</f>
        <v>12068.87</v>
      </c>
      <c r="G14" s="18">
        <v>6140.6</v>
      </c>
      <c r="I14" s="80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44">
        <f t="shared" si="0"/>
        <v>0</v>
      </c>
    </row>
    <row r="15" spans="1:22" x14ac:dyDescent="0.2">
      <c r="A15" s="64"/>
      <c r="B15" s="9" t="s">
        <v>15</v>
      </c>
      <c r="C15" s="5">
        <f>404+1974+3682</f>
        <v>6060</v>
      </c>
      <c r="D15" s="5">
        <f>2534+4844+250</f>
        <v>7628</v>
      </c>
      <c r="E15" s="5">
        <f>17094</f>
        <v>17094</v>
      </c>
      <c r="F15" s="5">
        <f>12320+364</f>
        <v>12684</v>
      </c>
      <c r="G15" s="18">
        <v>18786</v>
      </c>
      <c r="I15" s="18">
        <v>18000</v>
      </c>
      <c r="J15" s="18">
        <v>0</v>
      </c>
      <c r="K15" s="18">
        <v>0</v>
      </c>
      <c r="L15" s="18">
        <v>0</v>
      </c>
      <c r="M15" s="18">
        <f>I15</f>
        <v>18000</v>
      </c>
      <c r="N15" s="18">
        <v>0</v>
      </c>
      <c r="O15" s="18">
        <v>0</v>
      </c>
      <c r="P15" s="18">
        <v>0</v>
      </c>
      <c r="Q15" s="18">
        <v>0</v>
      </c>
      <c r="R15" s="44">
        <f t="shared" si="0"/>
        <v>0</v>
      </c>
    </row>
    <row r="16" spans="1:22" x14ac:dyDescent="0.2">
      <c r="A16" s="64"/>
      <c r="B16" s="9" t="s">
        <v>16</v>
      </c>
      <c r="C16" s="5">
        <f>200.08+250+250+250</f>
        <v>950.08</v>
      </c>
      <c r="D16" s="5">
        <f>-9441.68+10709.56</f>
        <v>1267.8799999999992</v>
      </c>
      <c r="E16" s="5">
        <f>110+226.26+333.35+247.05+1026.92+426.16+45</f>
        <v>2414.7400000000002</v>
      </c>
      <c r="F16" s="5">
        <v>0</v>
      </c>
      <c r="G16" s="18">
        <v>300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44">
        <f t="shared" si="0"/>
        <v>0</v>
      </c>
    </row>
    <row r="17" spans="1:18" x14ac:dyDescent="0.2">
      <c r="A17" s="64"/>
      <c r="B17" s="9" t="s">
        <v>17</v>
      </c>
      <c r="C17" s="5">
        <v>0</v>
      </c>
      <c r="D17" s="5">
        <v>0</v>
      </c>
      <c r="E17" s="5">
        <f>10403.03</f>
        <v>10403.030000000001</v>
      </c>
      <c r="F17" s="5">
        <v>0</v>
      </c>
      <c r="G17" s="18">
        <v>0</v>
      </c>
      <c r="I17" s="80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44">
        <f t="shared" si="0"/>
        <v>0</v>
      </c>
    </row>
    <row r="18" spans="1:18" x14ac:dyDescent="0.2">
      <c r="A18" s="64"/>
      <c r="B18" s="9" t="s">
        <v>122</v>
      </c>
      <c r="C18" s="18">
        <v>0</v>
      </c>
      <c r="D18" s="18">
        <v>0</v>
      </c>
      <c r="E18" s="18">
        <v>0</v>
      </c>
      <c r="F18" s="18">
        <v>0</v>
      </c>
      <c r="G18" s="18">
        <v>2000</v>
      </c>
      <c r="I18" s="18">
        <v>4000</v>
      </c>
      <c r="J18" s="18">
        <v>0</v>
      </c>
      <c r="K18" s="18">
        <v>0</v>
      </c>
      <c r="L18" s="18">
        <v>0</v>
      </c>
      <c r="M18" s="18">
        <v>4000</v>
      </c>
      <c r="N18" s="18">
        <v>0</v>
      </c>
      <c r="O18" s="18">
        <v>0</v>
      </c>
      <c r="P18" s="18">
        <v>0</v>
      </c>
      <c r="Q18" s="18">
        <v>0</v>
      </c>
      <c r="R18" s="44">
        <f t="shared" si="0"/>
        <v>0</v>
      </c>
    </row>
    <row r="19" spans="1:18" x14ac:dyDescent="0.2">
      <c r="A19" s="64"/>
      <c r="B19" s="9" t="s">
        <v>123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I19" s="18">
        <v>48000</v>
      </c>
      <c r="J19" s="18">
        <v>0</v>
      </c>
      <c r="K19" s="18">
        <v>0</v>
      </c>
      <c r="L19" s="18">
        <v>0</v>
      </c>
      <c r="M19" s="18">
        <v>48000</v>
      </c>
      <c r="N19" s="18">
        <v>0</v>
      </c>
      <c r="O19" s="18">
        <v>0</v>
      </c>
      <c r="P19" s="18">
        <v>0</v>
      </c>
      <c r="Q19" s="18">
        <v>0</v>
      </c>
      <c r="R19" s="44">
        <f t="shared" si="0"/>
        <v>0</v>
      </c>
    </row>
    <row r="20" spans="1:18" x14ac:dyDescent="0.2">
      <c r="A20" s="64"/>
      <c r="B20" s="9" t="s">
        <v>124</v>
      </c>
      <c r="C20" s="18">
        <v>198304.68</v>
      </c>
      <c r="D20" s="18">
        <v>214196.16</v>
      </c>
      <c r="E20" s="18">
        <v>212996.16</v>
      </c>
      <c r="F20" s="18">
        <f>302996.16-90000</f>
        <v>212996.15999999997</v>
      </c>
      <c r="G20" s="18">
        <v>212996.16</v>
      </c>
      <c r="I20" s="18">
        <f>212996.16-42482.4-72316.18</f>
        <v>98197.580000000016</v>
      </c>
      <c r="J20" s="18">
        <v>0</v>
      </c>
      <c r="K20" s="18">
        <v>0</v>
      </c>
      <c r="L20" s="18">
        <v>0</v>
      </c>
      <c r="M20" s="18">
        <v>98197.58</v>
      </c>
      <c r="N20" s="18">
        <v>0</v>
      </c>
      <c r="O20" s="18">
        <v>0</v>
      </c>
      <c r="P20" s="18">
        <v>0</v>
      </c>
      <c r="Q20" s="18">
        <v>0</v>
      </c>
      <c r="R20" s="44">
        <f t="shared" si="0"/>
        <v>1.4551915228366852E-11</v>
      </c>
    </row>
    <row r="21" spans="1:18" x14ac:dyDescent="0.2">
      <c r="A21" s="64"/>
      <c r="B21" s="9" t="s">
        <v>125</v>
      </c>
      <c r="C21" s="18">
        <v>0</v>
      </c>
      <c r="D21" s="18">
        <v>0</v>
      </c>
      <c r="E21" s="18">
        <v>90000</v>
      </c>
      <c r="F21" s="18">
        <v>90000</v>
      </c>
      <c r="G21" s="18">
        <v>90000</v>
      </c>
      <c r="I21" s="18">
        <v>90000</v>
      </c>
      <c r="J21" s="18">
        <v>0</v>
      </c>
      <c r="K21" s="18">
        <v>0</v>
      </c>
      <c r="L21" s="18">
        <v>0</v>
      </c>
      <c r="M21" s="18">
        <v>90000</v>
      </c>
      <c r="N21" s="18">
        <v>0</v>
      </c>
      <c r="O21" s="18">
        <v>0</v>
      </c>
      <c r="P21" s="18">
        <v>0</v>
      </c>
      <c r="Q21" s="18">
        <v>0</v>
      </c>
      <c r="R21" s="44">
        <f t="shared" si="0"/>
        <v>0</v>
      </c>
    </row>
    <row r="22" spans="1:18" x14ac:dyDescent="0.2">
      <c r="A22" s="64"/>
      <c r="B22" s="9" t="s">
        <v>126</v>
      </c>
      <c r="C22" s="18">
        <v>0</v>
      </c>
      <c r="D22" s="18">
        <v>720</v>
      </c>
      <c r="E22" s="18">
        <f>1438</f>
        <v>1438</v>
      </c>
      <c r="F22" s="18">
        <v>0</v>
      </c>
      <c r="G22" s="18">
        <v>32400</v>
      </c>
      <c r="I22" s="18">
        <v>32000</v>
      </c>
      <c r="J22" s="18">
        <v>0</v>
      </c>
      <c r="K22" s="18">
        <v>0</v>
      </c>
      <c r="L22" s="18">
        <v>0</v>
      </c>
      <c r="M22" s="18">
        <v>32000</v>
      </c>
      <c r="N22" s="18">
        <v>0</v>
      </c>
      <c r="O22" s="18">
        <v>0</v>
      </c>
      <c r="P22" s="18">
        <v>0</v>
      </c>
      <c r="Q22" s="18">
        <v>0</v>
      </c>
      <c r="R22" s="44">
        <f t="shared" si="0"/>
        <v>0</v>
      </c>
    </row>
    <row r="23" spans="1:18" x14ac:dyDescent="0.2">
      <c r="A23" s="64"/>
      <c r="B23" s="9" t="s">
        <v>274</v>
      </c>
      <c r="C23" s="18">
        <v>0</v>
      </c>
      <c r="D23" s="18">
        <v>0</v>
      </c>
      <c r="E23" s="18">
        <v>0</v>
      </c>
      <c r="F23" s="18">
        <v>0</v>
      </c>
      <c r="G23" s="18">
        <v>52000</v>
      </c>
      <c r="I23" s="18">
        <v>78000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f>6500*12</f>
        <v>78000</v>
      </c>
      <c r="P23" s="18">
        <v>0</v>
      </c>
      <c r="Q23" s="18">
        <v>0</v>
      </c>
      <c r="R23" s="44">
        <f t="shared" si="0"/>
        <v>0</v>
      </c>
    </row>
    <row r="24" spans="1:18" x14ac:dyDescent="0.2">
      <c r="A24" s="64"/>
      <c r="B24" s="9" t="s">
        <v>127</v>
      </c>
      <c r="C24" s="18">
        <v>0</v>
      </c>
      <c r="D24" s="18">
        <v>0</v>
      </c>
      <c r="E24" s="18">
        <f>422.4+655+655+222+655+222+222+655+222+655+655+222</f>
        <v>5462.4</v>
      </c>
      <c r="F24" s="18">
        <f>9461+222+655</f>
        <v>10338</v>
      </c>
      <c r="G24" s="18">
        <f>10699+4252</f>
        <v>14951</v>
      </c>
      <c r="I24" s="18">
        <v>12500</v>
      </c>
      <c r="J24" s="18">
        <v>0</v>
      </c>
      <c r="K24" s="18">
        <v>0</v>
      </c>
      <c r="L24" s="18">
        <v>0</v>
      </c>
      <c r="M24" s="18">
        <v>12500</v>
      </c>
      <c r="N24" s="18">
        <v>0</v>
      </c>
      <c r="O24" s="18">
        <v>0</v>
      </c>
      <c r="P24" s="18">
        <v>0</v>
      </c>
      <c r="Q24" s="18">
        <v>0</v>
      </c>
      <c r="R24" s="44">
        <f t="shared" si="0"/>
        <v>0</v>
      </c>
    </row>
    <row r="25" spans="1:18" x14ac:dyDescent="0.2">
      <c r="A25" s="64"/>
      <c r="B25" s="9" t="s">
        <v>313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I25" s="18">
        <v>27852.43</v>
      </c>
      <c r="J25" s="18">
        <v>0</v>
      </c>
      <c r="K25" s="18">
        <v>0</v>
      </c>
      <c r="L25" s="18">
        <v>0</v>
      </c>
      <c r="M25" s="18">
        <f>I25</f>
        <v>27852.43</v>
      </c>
      <c r="N25" s="18">
        <v>0</v>
      </c>
      <c r="O25" s="18">
        <v>0</v>
      </c>
      <c r="P25" s="18">
        <v>0</v>
      </c>
      <c r="Q25" s="18">
        <v>0</v>
      </c>
      <c r="R25" s="44">
        <f t="shared" ref="R25" si="1">I25-J25-K25-L25-M25-N25-O25-P25-Q25</f>
        <v>0</v>
      </c>
    </row>
    <row r="26" spans="1:18" x14ac:dyDescent="0.2">
      <c r="A26" s="64"/>
      <c r="B26" s="9" t="s">
        <v>18</v>
      </c>
      <c r="C26" s="5">
        <v>0</v>
      </c>
      <c r="D26" s="5">
        <v>0</v>
      </c>
      <c r="E26" s="5">
        <v>0</v>
      </c>
      <c r="F26" s="5">
        <v>0</v>
      </c>
      <c r="G26" s="18">
        <v>31300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44">
        <f t="shared" si="0"/>
        <v>0</v>
      </c>
    </row>
    <row r="27" spans="1:18" x14ac:dyDescent="0.2">
      <c r="A27" s="64"/>
      <c r="B27" s="9" t="s">
        <v>19</v>
      </c>
      <c r="C27" s="5">
        <v>0</v>
      </c>
      <c r="D27" s="5">
        <v>0</v>
      </c>
      <c r="E27" s="5">
        <v>0</v>
      </c>
      <c r="F27" s="5">
        <v>0</v>
      </c>
      <c r="G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44">
        <f t="shared" si="0"/>
        <v>0</v>
      </c>
    </row>
    <row r="28" spans="1:18" ht="12" thickBot="1" x14ac:dyDescent="0.25">
      <c r="A28" s="13"/>
      <c r="B28" s="1" t="s">
        <v>20</v>
      </c>
      <c r="C28" s="14">
        <f>SUM(C4:C27)</f>
        <v>1799933</v>
      </c>
      <c r="D28" s="14">
        <f>SUM(D4:D27)</f>
        <v>1808213.5199999996</v>
      </c>
      <c r="E28" s="14">
        <f>SUM(E4:E27)</f>
        <v>2282434.86</v>
      </c>
      <c r="F28" s="14">
        <f>SUM(F4:F27)</f>
        <v>2368291.9500000002</v>
      </c>
      <c r="G28" s="14">
        <f>SUM(G4:G27)</f>
        <v>2538817.9700000002</v>
      </c>
      <c r="I28" s="14">
        <f t="shared" ref="I28" si="2">SUM(I4:I27)</f>
        <v>2589721.6800000002</v>
      </c>
      <c r="J28" s="14">
        <f t="shared" ref="J28" si="3">SUM(J4:J27)</f>
        <v>1262762</v>
      </c>
      <c r="K28" s="14">
        <f>SUM(K4:K27)</f>
        <v>131945</v>
      </c>
      <c r="L28" s="14">
        <f t="shared" ref="L28:N28" si="4">SUM(L4:L27)</f>
        <v>320771</v>
      </c>
      <c r="M28" s="14">
        <f>SUM(M4:M27)</f>
        <v>504434.77</v>
      </c>
      <c r="N28" s="14">
        <f t="shared" si="4"/>
        <v>150000</v>
      </c>
      <c r="O28" s="14">
        <f t="shared" ref="O28" si="5">SUM(O4:O27)</f>
        <v>89808.91</v>
      </c>
      <c r="P28" s="14">
        <f>SUM(P4:P27)</f>
        <v>130000</v>
      </c>
      <c r="Q28" s="14">
        <f t="shared" ref="Q28" si="6">SUM(Q4:Q27)</f>
        <v>0</v>
      </c>
      <c r="R28" s="14">
        <f t="shared" ref="R28" si="7">SUM(R4:R27)</f>
        <v>1.8189894035458565E-11</v>
      </c>
    </row>
    <row r="29" spans="1:18" x14ac:dyDescent="0.2">
      <c r="A29" s="64"/>
      <c r="B29" s="64"/>
      <c r="C29" s="5"/>
      <c r="D29" s="5"/>
      <c r="E29" s="5"/>
      <c r="F29" s="5"/>
      <c r="G29" s="18"/>
      <c r="I29" s="18"/>
    </row>
    <row r="30" spans="1:18" x14ac:dyDescent="0.2">
      <c r="A30" s="11" t="s">
        <v>21</v>
      </c>
      <c r="B30" s="64"/>
      <c r="C30" s="47"/>
      <c r="D30" s="12"/>
      <c r="E30" s="12"/>
      <c r="F30" s="5"/>
      <c r="G30" s="18"/>
      <c r="I30" s="18"/>
    </row>
    <row r="31" spans="1:18" x14ac:dyDescent="0.2">
      <c r="A31" s="2">
        <v>5619</v>
      </c>
      <c r="B31" s="2" t="s">
        <v>22</v>
      </c>
      <c r="C31" s="12">
        <v>0</v>
      </c>
      <c r="D31" s="12">
        <v>37816.800000000003</v>
      </c>
      <c r="E31" s="12">
        <f>4873.2</f>
        <v>4873.2</v>
      </c>
      <c r="F31" s="12">
        <v>0</v>
      </c>
      <c r="G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44">
        <f t="shared" ref="R31:R33" si="8">I31-J31-K31-L31-M31-N31-O31-P31-Q31</f>
        <v>0</v>
      </c>
    </row>
    <row r="32" spans="1:18" x14ac:dyDescent="0.2">
      <c r="A32" s="2">
        <v>5452</v>
      </c>
      <c r="B32" s="2" t="s">
        <v>23</v>
      </c>
      <c r="C32" s="12">
        <v>0</v>
      </c>
      <c r="D32" s="12">
        <v>0</v>
      </c>
      <c r="E32" s="12">
        <f>28021.04</f>
        <v>28021.040000000001</v>
      </c>
      <c r="F32" s="12">
        <v>0</v>
      </c>
      <c r="G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44">
        <f t="shared" si="8"/>
        <v>0</v>
      </c>
    </row>
    <row r="33" spans="1:21" x14ac:dyDescent="0.2">
      <c r="A33" s="2" t="s">
        <v>19</v>
      </c>
      <c r="B33" s="2" t="s">
        <v>134</v>
      </c>
      <c r="C33" s="12">
        <v>0</v>
      </c>
      <c r="D33" s="12">
        <v>0</v>
      </c>
      <c r="E33" s="12">
        <v>0</v>
      </c>
      <c r="F33" s="12">
        <v>0</v>
      </c>
      <c r="G33" s="18">
        <v>21080</v>
      </c>
      <c r="I33" s="18">
        <v>13195</v>
      </c>
      <c r="J33" s="18">
        <v>10556</v>
      </c>
      <c r="K33" s="18">
        <v>0</v>
      </c>
      <c r="L33" s="18">
        <v>0</v>
      </c>
      <c r="M33" s="18">
        <v>2639</v>
      </c>
      <c r="N33" s="18">
        <v>0</v>
      </c>
      <c r="O33" s="18">
        <v>0</v>
      </c>
      <c r="P33" s="18">
        <v>0</v>
      </c>
      <c r="Q33" s="18">
        <v>0</v>
      </c>
      <c r="R33" s="44">
        <f t="shared" si="8"/>
        <v>0</v>
      </c>
      <c r="U33" s="65">
        <v>10556</v>
      </c>
    </row>
    <row r="34" spans="1:21" x14ac:dyDescent="0.2">
      <c r="A34" s="3" t="s">
        <v>19</v>
      </c>
      <c r="B34" s="3" t="s">
        <v>25</v>
      </c>
      <c r="C34" s="15">
        <f>SUM(C31:C33)</f>
        <v>0</v>
      </c>
      <c r="D34" s="15">
        <f>SUM(D31:D33)</f>
        <v>37816.800000000003</v>
      </c>
      <c r="E34" s="15">
        <f>SUM(E31:E33)</f>
        <v>32894.239999999998</v>
      </c>
      <c r="F34" s="15">
        <f>SUM(F31:F33)</f>
        <v>0</v>
      </c>
      <c r="G34" s="15">
        <f t="shared" ref="G34" si="9">SUM(G31:G33)</f>
        <v>21080</v>
      </c>
      <c r="I34" s="15">
        <f t="shared" ref="I34" si="10">SUM(I31:I33)</f>
        <v>13195</v>
      </c>
      <c r="J34" s="15">
        <f t="shared" ref="J34" si="11">SUM(J31:J33)</f>
        <v>10556</v>
      </c>
      <c r="K34" s="15">
        <f>SUM(K31:K33)</f>
        <v>0</v>
      </c>
      <c r="L34" s="15">
        <f t="shared" ref="L34:N34" si="12">SUM(L31:L33)</f>
        <v>0</v>
      </c>
      <c r="M34" s="15">
        <f>SUM(M31:M33)</f>
        <v>2639</v>
      </c>
      <c r="N34" s="15">
        <f t="shared" si="12"/>
        <v>0</v>
      </c>
      <c r="O34" s="15">
        <f t="shared" ref="O34" si="13">SUM(O31:O33)</f>
        <v>0</v>
      </c>
      <c r="P34" s="15">
        <f>SUM(P31:P33)</f>
        <v>0</v>
      </c>
      <c r="Q34" s="15">
        <f t="shared" ref="Q34" si="14">SUM(Q31:Q33)</f>
        <v>0</v>
      </c>
      <c r="R34" s="15">
        <f t="shared" ref="R34" si="15">SUM(R31:R33)</f>
        <v>0</v>
      </c>
    </row>
    <row r="35" spans="1:21" x14ac:dyDescent="0.2">
      <c r="A35" s="11"/>
      <c r="B35" s="64"/>
      <c r="C35" s="12"/>
      <c r="D35" s="12"/>
      <c r="E35" s="12"/>
      <c r="F35" s="12"/>
      <c r="G35" s="18"/>
      <c r="I35" s="18"/>
    </row>
    <row r="36" spans="1:21" x14ac:dyDescent="0.2">
      <c r="A36" s="2">
        <v>5411</v>
      </c>
      <c r="B36" s="2" t="s">
        <v>26</v>
      </c>
      <c r="C36" s="12">
        <f>1380+2760+13082</f>
        <v>17222</v>
      </c>
      <c r="D36" s="12">
        <f>4121+1399+14006.6</f>
        <v>19526.599999999999</v>
      </c>
      <c r="E36" s="12">
        <f>3261.32+24734.49</f>
        <v>27995.81</v>
      </c>
      <c r="F36" s="12">
        <f>35190.58</f>
        <v>35190.58</v>
      </c>
      <c r="G36" s="18">
        <v>32361.200000000001</v>
      </c>
      <c r="I36" s="18">
        <v>17360</v>
      </c>
      <c r="J36" s="78">
        <f>I36*0.8</f>
        <v>13888</v>
      </c>
      <c r="K36" s="18">
        <v>0</v>
      </c>
      <c r="L36" s="18">
        <v>0</v>
      </c>
      <c r="M36" s="18">
        <v>3472</v>
      </c>
      <c r="N36" s="18">
        <v>0</v>
      </c>
      <c r="O36" s="18">
        <v>0</v>
      </c>
      <c r="P36" s="18">
        <v>0</v>
      </c>
      <c r="Q36" s="18">
        <v>0</v>
      </c>
      <c r="R36" s="44">
        <f t="shared" ref="R36:R37" si="16">I36-J36-K36-L36-M36-N36-O36-P36-Q36</f>
        <v>0</v>
      </c>
      <c r="U36" s="79">
        <f>28865+5952</f>
        <v>34817</v>
      </c>
    </row>
    <row r="37" spans="1:21" x14ac:dyDescent="0.2">
      <c r="A37" s="2">
        <v>5414</v>
      </c>
      <c r="B37" s="2" t="s">
        <v>27</v>
      </c>
      <c r="C37" s="12">
        <v>0</v>
      </c>
      <c r="D37" s="12">
        <v>0</v>
      </c>
      <c r="E37" s="12">
        <f>120000</f>
        <v>120000</v>
      </c>
      <c r="F37" s="12">
        <f>120000</f>
        <v>120000</v>
      </c>
      <c r="G37" s="18">
        <v>120000</v>
      </c>
      <c r="I37" s="18">
        <v>120000</v>
      </c>
      <c r="J37" s="78">
        <v>80000</v>
      </c>
      <c r="K37" s="18">
        <v>0</v>
      </c>
      <c r="L37" s="18">
        <v>0</v>
      </c>
      <c r="M37" s="18">
        <v>20000</v>
      </c>
      <c r="N37" s="18">
        <v>16000</v>
      </c>
      <c r="O37" s="18">
        <v>4000</v>
      </c>
      <c r="P37" s="18">
        <v>0</v>
      </c>
      <c r="Q37" s="18">
        <v>0</v>
      </c>
      <c r="R37" s="44">
        <f t="shared" si="16"/>
        <v>0</v>
      </c>
      <c r="U37" s="79">
        <v>96000</v>
      </c>
    </row>
    <row r="38" spans="1:21" x14ac:dyDescent="0.2">
      <c r="A38" s="3" t="s">
        <v>19</v>
      </c>
      <c r="B38" s="3" t="s">
        <v>28</v>
      </c>
      <c r="C38" s="15">
        <f>SUM(C36:C37)</f>
        <v>17222</v>
      </c>
      <c r="D38" s="15">
        <f>SUM(D36:D37)</f>
        <v>19526.599999999999</v>
      </c>
      <c r="E38" s="15">
        <f>SUM(E36:E37)</f>
        <v>147995.81</v>
      </c>
      <c r="F38" s="15">
        <f>SUM(F36:F37)</f>
        <v>155190.58000000002</v>
      </c>
      <c r="G38" s="15">
        <f t="shared" ref="G38" si="17">SUM(G36:G37)</f>
        <v>152361.20000000001</v>
      </c>
      <c r="I38" s="15">
        <f t="shared" ref="I38" si="18">SUM(I36:I37)</f>
        <v>137360</v>
      </c>
      <c r="J38" s="15">
        <f t="shared" ref="J38" si="19">SUM(J36:J37)</f>
        <v>93888</v>
      </c>
      <c r="K38" s="15">
        <f>SUM(K36:K37)</f>
        <v>0</v>
      </c>
      <c r="L38" s="15">
        <f t="shared" ref="L38:N38" si="20">SUM(L36:L37)</f>
        <v>0</v>
      </c>
      <c r="M38" s="15">
        <f>SUM(M36:M37)</f>
        <v>23472</v>
      </c>
      <c r="N38" s="15">
        <f t="shared" si="20"/>
        <v>16000</v>
      </c>
      <c r="O38" s="15">
        <f t="shared" ref="O38" si="21">SUM(O36:O37)</f>
        <v>4000</v>
      </c>
      <c r="P38" s="15">
        <f>SUM(P36:P37)</f>
        <v>0</v>
      </c>
      <c r="Q38" s="15">
        <f t="shared" ref="Q38" si="22">SUM(Q36:Q37)</f>
        <v>0</v>
      </c>
      <c r="R38" s="15">
        <f t="shared" ref="R38" si="23">SUM(R36:R37)</f>
        <v>0</v>
      </c>
    </row>
    <row r="39" spans="1:21" x14ac:dyDescent="0.2">
      <c r="A39" s="64"/>
      <c r="B39" s="64"/>
      <c r="C39" s="12"/>
      <c r="D39" s="12"/>
      <c r="E39" s="12"/>
      <c r="F39" s="12"/>
      <c r="G39" s="18"/>
      <c r="I39" s="18"/>
    </row>
    <row r="40" spans="1:21" x14ac:dyDescent="0.2">
      <c r="A40" s="64"/>
      <c r="B40" s="64"/>
      <c r="C40" s="12"/>
      <c r="D40" s="12"/>
      <c r="E40" s="12"/>
      <c r="F40" s="12"/>
      <c r="G40" s="18"/>
      <c r="I40" s="18"/>
    </row>
    <row r="41" spans="1:21" x14ac:dyDescent="0.2">
      <c r="A41" s="2">
        <v>5110</v>
      </c>
      <c r="B41" s="2" t="s">
        <v>29</v>
      </c>
      <c r="C41" s="12">
        <f>7754.6+23321.2</f>
        <v>31075.800000000003</v>
      </c>
      <c r="D41" s="12">
        <f>7940.06+23179.07</f>
        <v>31119.13</v>
      </c>
      <c r="E41" s="12">
        <f>6302.89+51299.85</f>
        <v>57602.74</v>
      </c>
      <c r="F41" s="12">
        <f>63755.49+2575.32+6053.65</f>
        <v>72384.459999999992</v>
      </c>
      <c r="G41" s="18">
        <v>48716.639999999999</v>
      </c>
      <c r="I41" s="18">
        <f>Staffing!F11</f>
        <v>69106.180015999998</v>
      </c>
      <c r="J41" s="18">
        <f>I41*0.8</f>
        <v>55284.944012799999</v>
      </c>
      <c r="K41" s="18">
        <v>0</v>
      </c>
      <c r="L41" s="18">
        <f>I41*0.2</f>
        <v>13821.2360032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87">
        <f t="shared" ref="R41:R68" si="24">I41-J41-K41-L41-M41-N41-O41-P41-Q41</f>
        <v>0</v>
      </c>
    </row>
    <row r="42" spans="1:21" x14ac:dyDescent="0.2">
      <c r="A42" s="2">
        <v>5150</v>
      </c>
      <c r="B42" s="2" t="s">
        <v>30</v>
      </c>
      <c r="C42" s="12">
        <f>2829.51+95.82+17.84+872.34+8128.1+338.14+62.96+103.51+3078.3</f>
        <v>15526.52</v>
      </c>
      <c r="D42" s="12">
        <f>3459.3+28.68+5.36+261.2+10769.21</f>
        <v>14523.75</v>
      </c>
      <c r="E42" s="12">
        <f>4085.29+24909.2</f>
        <v>28994.49</v>
      </c>
      <c r="F42" s="12">
        <f>50682.8+1252.9+3479.86</f>
        <v>55415.560000000005</v>
      </c>
      <c r="G42" s="18">
        <v>38890.21</v>
      </c>
      <c r="I42" s="18">
        <f>(I41+I44+I45)*0.4869</f>
        <v>76991.461103606402</v>
      </c>
      <c r="J42" s="18">
        <f t="shared" ref="J42:J60" si="25">I42*0.8</f>
        <v>61593.168882885126</v>
      </c>
      <c r="K42" s="18">
        <v>0</v>
      </c>
      <c r="L42" s="18">
        <f t="shared" ref="L42:L43" si="26">I42*0.2</f>
        <v>15398.292220721281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87">
        <f t="shared" si="24"/>
        <v>-5.4569682106375694E-12</v>
      </c>
    </row>
    <row r="43" spans="1:21" x14ac:dyDescent="0.2">
      <c r="A43" s="2">
        <v>5199</v>
      </c>
      <c r="B43" s="2" t="s">
        <v>31</v>
      </c>
      <c r="C43" s="12">
        <f>1429.77+4245.9</f>
        <v>5675.67</v>
      </c>
      <c r="D43" s="12">
        <f>1423.49+4138.29</f>
        <v>5561.78</v>
      </c>
      <c r="E43" s="12">
        <f>1342.95+9289.86</f>
        <v>10632.810000000001</v>
      </c>
      <c r="F43" s="12">
        <f>19491.55+466.66+1138.59</f>
        <v>21096.799999999999</v>
      </c>
      <c r="G43" s="18">
        <v>15133.12</v>
      </c>
      <c r="I43" s="18">
        <f>(I41+I44+I42+I45)*0.1482</f>
        <v>34844.380860373669</v>
      </c>
      <c r="J43" s="18">
        <f t="shared" si="25"/>
        <v>27875.504688298937</v>
      </c>
      <c r="K43" s="18">
        <v>0</v>
      </c>
      <c r="L43" s="18">
        <f t="shared" si="26"/>
        <v>6968.8761720747343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87">
        <f t="shared" si="24"/>
        <v>-2.7284841053187847E-12</v>
      </c>
    </row>
    <row r="44" spans="1:21" x14ac:dyDescent="0.2">
      <c r="A44" s="2">
        <v>5213</v>
      </c>
      <c r="B44" s="2" t="s">
        <v>32</v>
      </c>
      <c r="C44" s="12">
        <v>0</v>
      </c>
      <c r="D44" s="12">
        <v>0</v>
      </c>
      <c r="E44" s="12">
        <v>0</v>
      </c>
      <c r="F44" s="12">
        <f>44847.37</f>
        <v>44847.37</v>
      </c>
      <c r="G44" s="18">
        <v>36473.33</v>
      </c>
      <c r="I44" s="18">
        <f>Staffing!F19</f>
        <v>86749.63863999999</v>
      </c>
      <c r="J44" s="18">
        <f t="shared" si="25"/>
        <v>69399.710911999995</v>
      </c>
      <c r="K44" s="18">
        <v>0</v>
      </c>
      <c r="L44" s="18">
        <f>40166-36188.4</f>
        <v>3977.5999999999985</v>
      </c>
      <c r="M44" s="18">
        <v>13372.33</v>
      </c>
      <c r="N44" s="18">
        <v>0</v>
      </c>
      <c r="O44" s="18">
        <v>0</v>
      </c>
      <c r="P44" s="18">
        <v>0</v>
      </c>
      <c r="Q44" s="18">
        <v>0</v>
      </c>
      <c r="R44" s="87">
        <f t="shared" si="24"/>
        <v>-2.2720000033586985E-3</v>
      </c>
    </row>
    <row r="45" spans="1:21" x14ac:dyDescent="0.2">
      <c r="A45" s="2">
        <v>5220</v>
      </c>
      <c r="B45" s="2" t="s">
        <v>286</v>
      </c>
      <c r="C45" s="12"/>
      <c r="D45" s="12"/>
      <c r="E45" s="12"/>
      <c r="F45" s="12"/>
      <c r="G45" s="18">
        <v>1838.6</v>
      </c>
      <c r="I45" s="18">
        <v>2270</v>
      </c>
      <c r="J45" s="18">
        <f t="shared" si="25"/>
        <v>1816</v>
      </c>
      <c r="K45" s="18">
        <v>0</v>
      </c>
      <c r="L45" s="18">
        <v>0</v>
      </c>
      <c r="M45" s="18">
        <v>454</v>
      </c>
      <c r="N45" s="18">
        <v>0</v>
      </c>
      <c r="O45" s="18">
        <v>0</v>
      </c>
      <c r="P45" s="18">
        <v>0</v>
      </c>
      <c r="Q45" s="18">
        <v>0</v>
      </c>
      <c r="R45" s="87">
        <f t="shared" si="24"/>
        <v>0</v>
      </c>
    </row>
    <row r="46" spans="1:21" x14ac:dyDescent="0.2">
      <c r="A46" s="2">
        <v>5230</v>
      </c>
      <c r="B46" s="2" t="s">
        <v>275</v>
      </c>
      <c r="C46" s="12">
        <v>0</v>
      </c>
      <c r="D46" s="12">
        <v>0</v>
      </c>
      <c r="E46" s="12">
        <v>0</v>
      </c>
      <c r="F46" s="12">
        <v>0</v>
      </c>
      <c r="G46" s="18">
        <v>0</v>
      </c>
      <c r="I46" s="18">
        <v>4049.97</v>
      </c>
      <c r="J46" s="18">
        <f t="shared" si="25"/>
        <v>3239.9760000000001</v>
      </c>
      <c r="K46" s="18">
        <v>0</v>
      </c>
      <c r="L46" s="18">
        <v>0</v>
      </c>
      <c r="M46" s="18">
        <v>809.99</v>
      </c>
      <c r="N46" s="18">
        <v>0</v>
      </c>
      <c r="O46" s="18">
        <v>0</v>
      </c>
      <c r="P46" s="18">
        <v>0</v>
      </c>
      <c r="Q46" s="18">
        <v>0</v>
      </c>
      <c r="R46" s="87">
        <f t="shared" si="24"/>
        <v>3.9999999996780389E-3</v>
      </c>
    </row>
    <row r="47" spans="1:21" x14ac:dyDescent="0.2">
      <c r="A47" s="2">
        <v>5231</v>
      </c>
      <c r="B47" s="2" t="s">
        <v>33</v>
      </c>
      <c r="C47" s="12">
        <f>518+105</f>
        <v>623</v>
      </c>
      <c r="D47" s="12">
        <f>1740+6400.79</f>
        <v>8140.79</v>
      </c>
      <c r="E47" s="12">
        <f>1994.3+6233.81</f>
        <v>8228.11</v>
      </c>
      <c r="F47" s="12">
        <f>7733.34</f>
        <v>7733.34</v>
      </c>
      <c r="G47" s="18">
        <v>7750</v>
      </c>
      <c r="I47" s="18">
        <v>9000</v>
      </c>
      <c r="J47" s="18">
        <f t="shared" si="25"/>
        <v>7200</v>
      </c>
      <c r="K47" s="18">
        <v>0</v>
      </c>
      <c r="L47" s="18">
        <v>0</v>
      </c>
      <c r="M47" s="18">
        <v>1800</v>
      </c>
      <c r="N47" s="18">
        <v>0</v>
      </c>
      <c r="O47" s="18">
        <v>0</v>
      </c>
      <c r="P47" s="18">
        <v>0</v>
      </c>
      <c r="Q47" s="18">
        <v>0</v>
      </c>
      <c r="R47" s="87">
        <f t="shared" si="24"/>
        <v>0</v>
      </c>
    </row>
    <row r="48" spans="1:21" x14ac:dyDescent="0.2">
      <c r="A48" s="2">
        <v>5291</v>
      </c>
      <c r="B48" s="2" t="s">
        <v>34</v>
      </c>
      <c r="C48" s="12">
        <f>5812.01+5353.06</f>
        <v>11165.07</v>
      </c>
      <c r="D48" s="12">
        <f>905.2+6037.76</f>
        <v>6942.96</v>
      </c>
      <c r="E48" s="12">
        <f>12748.94+18145.84</f>
        <v>30894.78</v>
      </c>
      <c r="F48" s="12">
        <f>13948.21+532</f>
        <v>14480.21</v>
      </c>
      <c r="G48" s="18">
        <v>0</v>
      </c>
      <c r="I48" s="18">
        <v>0</v>
      </c>
      <c r="J48" s="18">
        <f t="shared" si="25"/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87">
        <f t="shared" si="24"/>
        <v>0</v>
      </c>
    </row>
    <row r="49" spans="1:18" x14ac:dyDescent="0.2">
      <c r="A49" s="2">
        <v>5431</v>
      </c>
      <c r="B49" s="2" t="s">
        <v>35</v>
      </c>
      <c r="C49" s="12">
        <f>3.59+1250.29+4149.7</f>
        <v>5403.58</v>
      </c>
      <c r="D49" s="12">
        <f>1200.66+3820.53</f>
        <v>5021.1900000000005</v>
      </c>
      <c r="E49" s="12">
        <f>533.27+8310.82</f>
        <v>8844.09</v>
      </c>
      <c r="F49" s="12">
        <f>11901.9+9.54</f>
        <v>11911.44</v>
      </c>
      <c r="G49" s="18">
        <v>6916.28</v>
      </c>
      <c r="I49" s="18">
        <v>3968.5</v>
      </c>
      <c r="J49" s="18">
        <f t="shared" si="25"/>
        <v>3174.8</v>
      </c>
      <c r="K49" s="18">
        <v>0</v>
      </c>
      <c r="L49" s="18">
        <v>0</v>
      </c>
      <c r="M49" s="18">
        <v>793.7</v>
      </c>
      <c r="N49" s="18">
        <v>0</v>
      </c>
      <c r="O49" s="18">
        <v>0</v>
      </c>
      <c r="P49" s="18">
        <v>0</v>
      </c>
      <c r="Q49" s="18">
        <v>0</v>
      </c>
      <c r="R49" s="87">
        <f t="shared" si="24"/>
        <v>-2.2737367544323206E-13</v>
      </c>
    </row>
    <row r="50" spans="1:18" x14ac:dyDescent="0.2">
      <c r="A50" s="2">
        <v>5451</v>
      </c>
      <c r="B50" s="2" t="s">
        <v>36</v>
      </c>
      <c r="C50" s="12">
        <f>300+300+1545</f>
        <v>2145</v>
      </c>
      <c r="D50" s="12">
        <f>300+1637.96+738.33</f>
        <v>2676.29</v>
      </c>
      <c r="E50" s="12">
        <f>6174.6+2896</f>
        <v>9070.6</v>
      </c>
      <c r="F50" s="12">
        <f>4752.61+1374.38</f>
        <v>6126.99</v>
      </c>
      <c r="G50" s="18">
        <v>3557.65</v>
      </c>
      <c r="I50" s="18">
        <f>I36*0.16</f>
        <v>2777.6</v>
      </c>
      <c r="J50" s="18">
        <f t="shared" si="25"/>
        <v>2222.08</v>
      </c>
      <c r="K50" s="18">
        <v>0</v>
      </c>
      <c r="L50" s="18">
        <v>0</v>
      </c>
      <c r="M50" s="18">
        <v>555.52</v>
      </c>
      <c r="N50" s="18">
        <v>0</v>
      </c>
      <c r="O50" s="18">
        <v>0</v>
      </c>
      <c r="P50" s="18">
        <v>0</v>
      </c>
      <c r="Q50" s="18">
        <v>0</v>
      </c>
      <c r="R50" s="87">
        <f t="shared" si="24"/>
        <v>0</v>
      </c>
    </row>
    <row r="51" spans="1:18" x14ac:dyDescent="0.2">
      <c r="A51" s="2">
        <v>5510</v>
      </c>
      <c r="B51" s="2" t="s">
        <v>37</v>
      </c>
      <c r="C51" s="12">
        <f>1735.05+3926.25</f>
        <v>5661.3</v>
      </c>
      <c r="D51" s="12">
        <f>2326.11+3745.13</f>
        <v>6071.24</v>
      </c>
      <c r="E51" s="12">
        <f>1456.61+7607.09</f>
        <v>9063.7000000000007</v>
      </c>
      <c r="F51" s="12">
        <f>4365.05+42.8+306.31</f>
        <v>4714.1600000000008</v>
      </c>
      <c r="G51" s="18">
        <v>3085.8</v>
      </c>
      <c r="I51" s="18">
        <v>5000</v>
      </c>
      <c r="J51" s="18">
        <f t="shared" si="25"/>
        <v>4000</v>
      </c>
      <c r="K51" s="18">
        <v>0</v>
      </c>
      <c r="L51" s="18">
        <v>0</v>
      </c>
      <c r="M51" s="18">
        <v>1000</v>
      </c>
      <c r="N51" s="18">
        <v>0</v>
      </c>
      <c r="O51" s="18">
        <v>0</v>
      </c>
      <c r="P51" s="18">
        <v>0</v>
      </c>
      <c r="Q51" s="18">
        <v>0</v>
      </c>
      <c r="R51" s="87">
        <f t="shared" si="24"/>
        <v>0</v>
      </c>
    </row>
    <row r="52" spans="1:18" x14ac:dyDescent="0.2">
      <c r="A52" s="2">
        <v>5622</v>
      </c>
      <c r="B52" s="2" t="s">
        <v>38</v>
      </c>
      <c r="C52" s="12">
        <f>97.89+2325.59</f>
        <v>2423.48</v>
      </c>
      <c r="D52" s="12">
        <f>570.55+4911.18</f>
        <v>5481.7300000000005</v>
      </c>
      <c r="E52" s="12">
        <f>2810+2567.89</f>
        <v>5377.8899999999994</v>
      </c>
      <c r="F52" s="12">
        <v>0</v>
      </c>
      <c r="G52" s="18">
        <v>0</v>
      </c>
      <c r="I52" s="18">
        <v>0</v>
      </c>
      <c r="J52" s="18">
        <f t="shared" si="25"/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87">
        <f t="shared" si="24"/>
        <v>0</v>
      </c>
    </row>
    <row r="53" spans="1:18" x14ac:dyDescent="0.2">
      <c r="A53" s="2">
        <v>5711</v>
      </c>
      <c r="B53" s="2" t="s">
        <v>39</v>
      </c>
      <c r="C53" s="12">
        <v>0</v>
      </c>
      <c r="D53" s="12">
        <v>0</v>
      </c>
      <c r="E53" s="12">
        <v>0</v>
      </c>
      <c r="F53" s="12">
        <f>173</f>
        <v>173</v>
      </c>
      <c r="G53" s="18">
        <v>1736.14</v>
      </c>
      <c r="I53" s="18">
        <v>2065</v>
      </c>
      <c r="J53" s="18">
        <f t="shared" si="25"/>
        <v>1652</v>
      </c>
      <c r="K53" s="18">
        <v>0</v>
      </c>
      <c r="L53" s="18">
        <v>0</v>
      </c>
      <c r="M53" s="18">
        <v>413</v>
      </c>
      <c r="N53" s="18">
        <v>0</v>
      </c>
      <c r="O53" s="18">
        <v>0</v>
      </c>
      <c r="P53" s="18">
        <v>0</v>
      </c>
      <c r="Q53" s="18">
        <v>0</v>
      </c>
      <c r="R53" s="87">
        <f t="shared" si="24"/>
        <v>0</v>
      </c>
    </row>
    <row r="54" spans="1:18" x14ac:dyDescent="0.2">
      <c r="A54" s="2">
        <v>5714</v>
      </c>
      <c r="B54" s="2" t="s">
        <v>40</v>
      </c>
      <c r="C54" s="12">
        <f>124.84+166.36</f>
        <v>291.20000000000005</v>
      </c>
      <c r="D54" s="12">
        <f>13.27+1509.37</f>
        <v>1522.6399999999999</v>
      </c>
      <c r="E54" s="12">
        <f>3855.79+13942.04</f>
        <v>17797.830000000002</v>
      </c>
      <c r="F54" s="12">
        <f>19698.15+1211.41</f>
        <v>20909.560000000001</v>
      </c>
      <c r="G54" s="18">
        <v>1581.59</v>
      </c>
      <c r="I54" s="18">
        <v>0</v>
      </c>
      <c r="J54" s="18">
        <f t="shared" si="25"/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87">
        <f t="shared" si="24"/>
        <v>0</v>
      </c>
    </row>
    <row r="55" spans="1:18" x14ac:dyDescent="0.2">
      <c r="A55" s="2">
        <v>5721</v>
      </c>
      <c r="B55" s="2" t="s">
        <v>41</v>
      </c>
      <c r="C55" s="12">
        <f>10.75+309.03+2496.55</f>
        <v>2816.33</v>
      </c>
      <c r="D55" s="12">
        <f>3055.2+8598.28</f>
        <v>11653.48</v>
      </c>
      <c r="E55" s="12">
        <f>129.76+8081.99</f>
        <v>8211.75</v>
      </c>
      <c r="F55" s="12">
        <f>3687.34+45.75</f>
        <v>3733.09</v>
      </c>
      <c r="G55" s="18">
        <v>6773.31</v>
      </c>
      <c r="I55" s="18">
        <v>7000</v>
      </c>
      <c r="J55" s="18">
        <f t="shared" si="25"/>
        <v>5600</v>
      </c>
      <c r="K55" s="18">
        <v>0</v>
      </c>
      <c r="L55" s="18">
        <v>0</v>
      </c>
      <c r="M55" s="18">
        <v>1400</v>
      </c>
      <c r="N55" s="18">
        <v>0</v>
      </c>
      <c r="O55" s="18">
        <v>0</v>
      </c>
      <c r="P55" s="18">
        <v>0</v>
      </c>
      <c r="Q55" s="18">
        <v>0</v>
      </c>
      <c r="R55" s="87">
        <f t="shared" si="24"/>
        <v>0</v>
      </c>
    </row>
    <row r="56" spans="1:18" x14ac:dyDescent="0.2">
      <c r="A56" s="2">
        <v>5722</v>
      </c>
      <c r="B56" s="2" t="s">
        <v>42</v>
      </c>
      <c r="C56" s="12">
        <f>643.95+6440.79</f>
        <v>7084.74</v>
      </c>
      <c r="D56" s="12">
        <f>2593+5263</f>
        <v>7856</v>
      </c>
      <c r="E56" s="12">
        <f>2168.85+4559.18</f>
        <v>6728.0300000000007</v>
      </c>
      <c r="F56" s="12">
        <f>4341.72</f>
        <v>4341.72</v>
      </c>
      <c r="G56" s="18">
        <v>2060.59</v>
      </c>
      <c r="I56" s="18">
        <v>2500</v>
      </c>
      <c r="J56" s="18">
        <f t="shared" si="25"/>
        <v>2000</v>
      </c>
      <c r="K56" s="18">
        <v>0</v>
      </c>
      <c r="L56" s="18">
        <v>0</v>
      </c>
      <c r="M56" s="18">
        <v>500</v>
      </c>
      <c r="N56" s="18">
        <v>0</v>
      </c>
      <c r="O56" s="18">
        <v>0</v>
      </c>
      <c r="P56" s="18">
        <v>0</v>
      </c>
      <c r="Q56" s="18">
        <v>0</v>
      </c>
      <c r="R56" s="87">
        <f t="shared" si="24"/>
        <v>0</v>
      </c>
    </row>
    <row r="57" spans="1:18" x14ac:dyDescent="0.2">
      <c r="A57" s="2">
        <v>5723</v>
      </c>
      <c r="B57" s="2" t="s">
        <v>43</v>
      </c>
      <c r="C57" s="12">
        <f>891.36+53.53</f>
        <v>944.89</v>
      </c>
      <c r="D57" s="12">
        <f>2424.34+1874.7</f>
        <v>4299.04</v>
      </c>
      <c r="E57" s="12">
        <v>0</v>
      </c>
      <c r="F57" s="12">
        <v>0</v>
      </c>
      <c r="G57" s="18">
        <v>0</v>
      </c>
      <c r="I57" s="18">
        <v>0</v>
      </c>
      <c r="J57" s="18">
        <f t="shared" si="25"/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87">
        <f t="shared" si="24"/>
        <v>0</v>
      </c>
    </row>
    <row r="58" spans="1:18" x14ac:dyDescent="0.2">
      <c r="A58" s="2">
        <v>5753</v>
      </c>
      <c r="B58" s="2" t="s">
        <v>44</v>
      </c>
      <c r="C58" s="12">
        <f>2136.19+1095.39</f>
        <v>3231.58</v>
      </c>
      <c r="D58" s="12">
        <f>2535.1+1039.19</f>
        <v>3574.29</v>
      </c>
      <c r="E58" s="12">
        <f>217.41+5904.5</f>
        <v>6121.91</v>
      </c>
      <c r="F58" s="12">
        <f>3930.94</f>
        <v>3930.94</v>
      </c>
      <c r="G58" s="18">
        <v>1474.66</v>
      </c>
      <c r="I58" s="18">
        <v>1500</v>
      </c>
      <c r="J58" s="18">
        <f t="shared" si="25"/>
        <v>1200</v>
      </c>
      <c r="K58" s="18">
        <v>0</v>
      </c>
      <c r="L58" s="18">
        <v>0</v>
      </c>
      <c r="M58" s="18">
        <v>300</v>
      </c>
      <c r="N58" s="18">
        <v>0</v>
      </c>
      <c r="O58" s="18">
        <v>0</v>
      </c>
      <c r="P58" s="18">
        <v>0</v>
      </c>
      <c r="Q58" s="18">
        <v>0</v>
      </c>
      <c r="R58" s="87">
        <f t="shared" si="24"/>
        <v>0</v>
      </c>
    </row>
    <row r="59" spans="1:18" x14ac:dyDescent="0.2">
      <c r="A59" s="2">
        <v>5761</v>
      </c>
      <c r="B59" s="2" t="s">
        <v>45</v>
      </c>
      <c r="C59" s="12">
        <f>614.31+9592.71</f>
        <v>10207.019999999999</v>
      </c>
      <c r="D59" s="12">
        <f>1527.98+5285.56</f>
        <v>6813.5400000000009</v>
      </c>
      <c r="E59" s="12">
        <f>419.2+3903.26</f>
        <v>4322.46</v>
      </c>
      <c r="F59" s="12">
        <f>5385.02+136.8</f>
        <v>5521.8200000000006</v>
      </c>
      <c r="G59" s="18">
        <v>4983.1499999999996</v>
      </c>
      <c r="I59" s="18">
        <v>5000</v>
      </c>
      <c r="J59" s="18">
        <f t="shared" si="25"/>
        <v>4000</v>
      </c>
      <c r="K59" s="18">
        <v>0</v>
      </c>
      <c r="L59" s="18">
        <v>0</v>
      </c>
      <c r="M59" s="18">
        <v>1000</v>
      </c>
      <c r="N59" s="18">
        <v>0</v>
      </c>
      <c r="O59" s="18">
        <v>0</v>
      </c>
      <c r="P59" s="18">
        <v>0</v>
      </c>
      <c r="Q59" s="18">
        <v>0</v>
      </c>
      <c r="R59" s="87">
        <f t="shared" si="24"/>
        <v>0</v>
      </c>
    </row>
    <row r="60" spans="1:18" x14ac:dyDescent="0.2">
      <c r="A60" s="2">
        <v>5762</v>
      </c>
      <c r="B60" s="2" t="s">
        <v>46</v>
      </c>
      <c r="C60" s="12">
        <f>178.51+734.61</f>
        <v>913.12</v>
      </c>
      <c r="D60" s="12">
        <f>395.5+700.86</f>
        <v>1096.3600000000001</v>
      </c>
      <c r="E60" s="12">
        <f>259.96+1284.32</f>
        <v>1544.28</v>
      </c>
      <c r="F60" s="12">
        <f>1315.28+21.77</f>
        <v>1337.05</v>
      </c>
      <c r="G60" s="18">
        <v>1497.05</v>
      </c>
      <c r="I60" s="18">
        <v>1500</v>
      </c>
      <c r="J60" s="18">
        <f t="shared" si="25"/>
        <v>1200</v>
      </c>
      <c r="K60" s="18">
        <v>0</v>
      </c>
      <c r="L60" s="18">
        <v>0</v>
      </c>
      <c r="M60" s="18">
        <v>300</v>
      </c>
      <c r="N60" s="18">
        <v>0</v>
      </c>
      <c r="O60" s="18">
        <v>0</v>
      </c>
      <c r="P60" s="18">
        <v>0</v>
      </c>
      <c r="Q60" s="18">
        <v>0</v>
      </c>
      <c r="R60" s="87">
        <f t="shared" si="24"/>
        <v>0</v>
      </c>
    </row>
    <row r="61" spans="1:18" x14ac:dyDescent="0.2">
      <c r="A61" s="2">
        <v>5791</v>
      </c>
      <c r="B61" s="2" t="s">
        <v>47</v>
      </c>
      <c r="C61" s="12">
        <v>0</v>
      </c>
      <c r="D61" s="12">
        <v>0</v>
      </c>
      <c r="E61" s="12">
        <f>4616.61</f>
        <v>4616.6099999999997</v>
      </c>
      <c r="F61" s="12">
        <v>0</v>
      </c>
      <c r="G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87">
        <f t="shared" si="24"/>
        <v>0</v>
      </c>
    </row>
    <row r="62" spans="1:18" x14ac:dyDescent="0.2">
      <c r="A62" s="2">
        <v>5810</v>
      </c>
      <c r="B62" s="2" t="s">
        <v>114</v>
      </c>
      <c r="C62" s="5">
        <v>0</v>
      </c>
      <c r="D62" s="5">
        <v>0</v>
      </c>
      <c r="E62" s="5">
        <v>0</v>
      </c>
      <c r="F62" s="5">
        <v>0</v>
      </c>
      <c r="G62" s="18">
        <v>8432.68</v>
      </c>
      <c r="I62" s="18">
        <v>10000</v>
      </c>
      <c r="J62" s="18">
        <v>0</v>
      </c>
      <c r="K62" s="18">
        <f>I62*0.8</f>
        <v>8000</v>
      </c>
      <c r="L62" s="18">
        <v>0</v>
      </c>
      <c r="M62" s="18">
        <v>2000</v>
      </c>
      <c r="N62" s="18">
        <v>0</v>
      </c>
      <c r="O62" s="18">
        <v>0</v>
      </c>
      <c r="P62" s="18">
        <v>0</v>
      </c>
      <c r="Q62" s="18">
        <v>0</v>
      </c>
      <c r="R62" s="87">
        <f t="shared" si="24"/>
        <v>0</v>
      </c>
    </row>
    <row r="63" spans="1:18" x14ac:dyDescent="0.2">
      <c r="A63" s="2">
        <v>5811</v>
      </c>
      <c r="B63" s="2" t="s">
        <v>314</v>
      </c>
      <c r="C63" s="5">
        <v>0</v>
      </c>
      <c r="D63" s="5">
        <v>0</v>
      </c>
      <c r="E63" s="5">
        <v>0</v>
      </c>
      <c r="F63" s="5">
        <v>0</v>
      </c>
      <c r="G63" s="18">
        <v>0</v>
      </c>
      <c r="I63" s="18">
        <f>251.25*12</f>
        <v>3015</v>
      </c>
      <c r="J63" s="18">
        <v>0</v>
      </c>
      <c r="K63" s="18">
        <f>I63*0.8</f>
        <v>2412</v>
      </c>
      <c r="L63" s="18">
        <v>0</v>
      </c>
      <c r="M63" s="18">
        <v>603</v>
      </c>
      <c r="N63" s="18">
        <v>0</v>
      </c>
      <c r="O63" s="18">
        <v>0</v>
      </c>
      <c r="P63" s="18">
        <v>0</v>
      </c>
      <c r="Q63" s="18">
        <v>0</v>
      </c>
      <c r="R63" s="87">
        <f t="shared" ref="R63" si="27">I63-J63-K63-L63-M63-N63-O63-P63-Q63</f>
        <v>0</v>
      </c>
    </row>
    <row r="64" spans="1:18" x14ac:dyDescent="0.2">
      <c r="A64" s="2">
        <v>5814</v>
      </c>
      <c r="B64" s="2" t="s">
        <v>115</v>
      </c>
      <c r="C64" s="5">
        <v>0</v>
      </c>
      <c r="D64" s="5">
        <v>0</v>
      </c>
      <c r="E64" s="5">
        <v>0</v>
      </c>
      <c r="F64" s="5">
        <v>0</v>
      </c>
      <c r="G64" s="18">
        <v>23534.12</v>
      </c>
      <c r="I64" s="18">
        <v>30000</v>
      </c>
      <c r="J64" s="18">
        <v>0</v>
      </c>
      <c r="K64" s="18">
        <f t="shared" ref="K64:K67" si="28">I64*0.8</f>
        <v>24000</v>
      </c>
      <c r="L64" s="18">
        <v>0</v>
      </c>
      <c r="M64" s="18">
        <v>6000</v>
      </c>
      <c r="N64" s="18">
        <v>0</v>
      </c>
      <c r="O64" s="18">
        <v>0</v>
      </c>
      <c r="P64" s="18">
        <v>0</v>
      </c>
      <c r="Q64" s="18">
        <v>0</v>
      </c>
      <c r="R64" s="87">
        <f t="shared" si="24"/>
        <v>0</v>
      </c>
    </row>
    <row r="65" spans="1:23" x14ac:dyDescent="0.2">
      <c r="A65" s="2">
        <v>5831</v>
      </c>
      <c r="B65" s="2" t="s">
        <v>116</v>
      </c>
      <c r="C65" s="5">
        <v>0</v>
      </c>
      <c r="D65" s="5">
        <v>0</v>
      </c>
      <c r="E65" s="5">
        <v>0</v>
      </c>
      <c r="F65" s="5">
        <v>0</v>
      </c>
      <c r="G65" s="18">
        <v>13933.33</v>
      </c>
      <c r="I65" s="18">
        <v>20000</v>
      </c>
      <c r="J65" s="18">
        <v>0</v>
      </c>
      <c r="K65" s="18">
        <f t="shared" si="28"/>
        <v>16000</v>
      </c>
      <c r="L65" s="18">
        <v>0</v>
      </c>
      <c r="M65" s="18">
        <v>4000</v>
      </c>
      <c r="N65" s="18">
        <v>0</v>
      </c>
      <c r="O65" s="18">
        <v>0</v>
      </c>
      <c r="P65" s="18">
        <v>0</v>
      </c>
      <c r="Q65" s="18">
        <v>0</v>
      </c>
      <c r="R65" s="87">
        <f t="shared" si="24"/>
        <v>0</v>
      </c>
    </row>
    <row r="66" spans="1:23" ht="22.5" x14ac:dyDescent="0.2">
      <c r="A66" s="2">
        <v>5851</v>
      </c>
      <c r="B66" s="2" t="s">
        <v>117</v>
      </c>
      <c r="C66" s="5">
        <v>0</v>
      </c>
      <c r="D66" s="5">
        <v>0</v>
      </c>
      <c r="E66" s="5">
        <v>0</v>
      </c>
      <c r="F66" s="5">
        <v>0</v>
      </c>
      <c r="G66" s="18">
        <v>3827.15</v>
      </c>
      <c r="I66" s="18">
        <v>10661</v>
      </c>
      <c r="J66" s="18">
        <v>0</v>
      </c>
      <c r="K66" s="18">
        <f t="shared" si="28"/>
        <v>8528.8000000000011</v>
      </c>
      <c r="L66" s="18">
        <v>0</v>
      </c>
      <c r="M66" s="18">
        <v>2132.1999999999998</v>
      </c>
      <c r="N66" s="18">
        <v>0</v>
      </c>
      <c r="O66" s="18">
        <v>0</v>
      </c>
      <c r="P66" s="18">
        <v>0</v>
      </c>
      <c r="Q66" s="18">
        <v>0</v>
      </c>
      <c r="R66" s="87">
        <f t="shared" si="24"/>
        <v>-9.0949470177292824E-13</v>
      </c>
    </row>
    <row r="67" spans="1:23" x14ac:dyDescent="0.2">
      <c r="A67" s="2">
        <v>5861</v>
      </c>
      <c r="B67" s="2" t="s">
        <v>118</v>
      </c>
      <c r="C67" s="5">
        <v>0</v>
      </c>
      <c r="D67" s="5">
        <v>0</v>
      </c>
      <c r="E67" s="5">
        <v>0</v>
      </c>
      <c r="F67" s="5">
        <v>0</v>
      </c>
      <c r="G67" s="18">
        <v>1327.96</v>
      </c>
      <c r="I67" s="18">
        <v>9000</v>
      </c>
      <c r="J67" s="18">
        <v>0</v>
      </c>
      <c r="K67" s="18">
        <f t="shared" si="28"/>
        <v>7200</v>
      </c>
      <c r="L67" s="18">
        <v>0</v>
      </c>
      <c r="M67" s="18">
        <v>1800</v>
      </c>
      <c r="N67" s="18">
        <v>0</v>
      </c>
      <c r="O67" s="18">
        <v>0</v>
      </c>
      <c r="P67" s="18">
        <v>0</v>
      </c>
      <c r="Q67" s="18">
        <v>0</v>
      </c>
      <c r="R67" s="87">
        <f t="shared" si="24"/>
        <v>0</v>
      </c>
    </row>
    <row r="68" spans="1:23" x14ac:dyDescent="0.2">
      <c r="A68" s="2">
        <v>6791</v>
      </c>
      <c r="B68" s="2" t="s">
        <v>62</v>
      </c>
      <c r="C68" s="5">
        <v>0</v>
      </c>
      <c r="D68" s="5">
        <v>0</v>
      </c>
      <c r="E68" s="5">
        <v>0</v>
      </c>
      <c r="F68" s="5">
        <v>0</v>
      </c>
      <c r="G68" s="18">
        <v>31300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86">
        <f t="shared" si="24"/>
        <v>0</v>
      </c>
    </row>
    <row r="69" spans="1:23" x14ac:dyDescent="0.2">
      <c r="A69" s="2"/>
      <c r="B69" s="2" t="s">
        <v>48</v>
      </c>
      <c r="C69" s="15">
        <f>SUM(C41:C68)</f>
        <v>105188.3</v>
      </c>
      <c r="D69" s="15">
        <f>SUM(D41:D68)</f>
        <v>122354.20999999998</v>
      </c>
      <c r="E69" s="15">
        <f>SUM(E41:E68)</f>
        <v>218052.08000000002</v>
      </c>
      <c r="F69" s="15">
        <f>SUM(F41:F68)</f>
        <v>278657.50999999995</v>
      </c>
      <c r="G69" s="15">
        <f t="shared" ref="G69" si="29">SUM(G41:G68)</f>
        <v>264823.35999999993</v>
      </c>
      <c r="I69" s="15">
        <f t="shared" ref="I69" si="30">SUM(I41:I68)</f>
        <v>396998.73061998002</v>
      </c>
      <c r="J69" s="116">
        <f t="shared" ref="J69" si="31">SUM(J41:J68)</f>
        <v>251458.18449598405</v>
      </c>
      <c r="K69" s="15">
        <f>SUM(K41:K68)</f>
        <v>66140.800000000003</v>
      </c>
      <c r="L69" s="15">
        <f t="shared" ref="L69" si="32">SUM(L41:L68)</f>
        <v>40166.004395996017</v>
      </c>
      <c r="M69" s="15">
        <f>SUM(M41:M68)</f>
        <v>39233.74</v>
      </c>
      <c r="N69" s="15">
        <f t="shared" ref="N69" si="33">SUM(N41:N68)</f>
        <v>0</v>
      </c>
      <c r="O69" s="15">
        <f t="shared" ref="O69" si="34">SUM(O41:O68)</f>
        <v>0</v>
      </c>
      <c r="P69" s="15">
        <f>SUM(P41:P68)</f>
        <v>0</v>
      </c>
      <c r="Q69" s="15">
        <f t="shared" ref="Q69" si="35">SUM(Q41:Q68)</f>
        <v>0</v>
      </c>
      <c r="R69" s="15">
        <f t="shared" ref="R69" si="36">SUM(R41:R68)</f>
        <v>1.7279999869970197E-3</v>
      </c>
      <c r="T69" s="65">
        <v>40166</v>
      </c>
      <c r="U69" s="115">
        <v>186000</v>
      </c>
      <c r="V69" s="68"/>
    </row>
    <row r="70" spans="1:23" x14ac:dyDescent="0.2">
      <c r="A70" s="2"/>
      <c r="B70" s="2"/>
      <c r="C70" s="42"/>
      <c r="D70" s="42"/>
      <c r="E70" s="42"/>
      <c r="F70" s="42"/>
      <c r="G70" s="16"/>
      <c r="I70" s="16"/>
      <c r="T70" s="65">
        <f>T69-L69</f>
        <v>-4.395996016683057E-3</v>
      </c>
    </row>
    <row r="71" spans="1:23" x14ac:dyDescent="0.2">
      <c r="A71" s="2">
        <v>5111</v>
      </c>
      <c r="B71" s="2" t="s">
        <v>29</v>
      </c>
      <c r="C71" s="12">
        <f>13797.41+37811.8</f>
        <v>51609.210000000006</v>
      </c>
      <c r="D71" s="12">
        <f>14663.02+43995.27</f>
        <v>58658.289999999994</v>
      </c>
      <c r="E71" s="12">
        <f>14244.28+53912.86</f>
        <v>68157.14</v>
      </c>
      <c r="F71" s="12">
        <f>65405.67+2778.88</f>
        <v>68184.55</v>
      </c>
      <c r="G71" s="16">
        <v>57399.34</v>
      </c>
      <c r="I71" s="16">
        <f>Staffing!F32</f>
        <v>0</v>
      </c>
      <c r="J71" s="16">
        <f>I71*0.5</f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44">
        <f t="shared" ref="R71:R93" si="37">I71-J71-K71-L71-M71-N71-O71-P71-Q71</f>
        <v>0</v>
      </c>
    </row>
    <row r="72" spans="1:23" x14ac:dyDescent="0.2">
      <c r="A72" s="2">
        <v>5150</v>
      </c>
      <c r="B72" s="2" t="s">
        <v>30</v>
      </c>
      <c r="C72" s="12">
        <f>155.64+53095.26+1353.28+4260.21+66.6+10600.27+134055.71+5577.81+18114.54+2580.46+44683.87</f>
        <v>274543.64999999997</v>
      </c>
      <c r="D72" s="12">
        <f>-42.02+61226.9+664.87+1989.34+103.39+5018.82+184584.77</f>
        <v>253546.07</v>
      </c>
      <c r="E72" s="12">
        <f>43075.4+256710.19+7245.16</f>
        <v>307030.75</v>
      </c>
      <c r="F72" s="12">
        <f>302654.97+16097.17+2323.17+6119.84</f>
        <v>327195.14999999997</v>
      </c>
      <c r="G72" s="16">
        <v>308335.43</v>
      </c>
      <c r="I72" s="16">
        <f>(I71+I75+I76+I77+I78)*0.4869</f>
        <v>281493.27628840797</v>
      </c>
      <c r="J72" s="16">
        <f>247244.25/2</f>
        <v>123622.125</v>
      </c>
      <c r="K72" s="16">
        <v>0</v>
      </c>
      <c r="L72" s="16">
        <v>0</v>
      </c>
      <c r="M72" s="16">
        <v>123622.12</v>
      </c>
      <c r="N72" s="16">
        <f>N75*0.4869</f>
        <v>17124.514190784001</v>
      </c>
      <c r="O72" s="16">
        <f>N72</f>
        <v>17124.514190784001</v>
      </c>
      <c r="P72" s="16">
        <v>0</v>
      </c>
      <c r="Q72" s="16">
        <v>0</v>
      </c>
      <c r="R72" s="44">
        <f t="shared" si="37"/>
        <v>2.9068399744573981E-3</v>
      </c>
    </row>
    <row r="73" spans="1:23" x14ac:dyDescent="0.2">
      <c r="A73" s="2">
        <v>5199</v>
      </c>
      <c r="B73" s="2" t="s">
        <v>31</v>
      </c>
      <c r="C73" s="12">
        <f>97.58+29146.82+71465.14</f>
        <v>100709.54000000001</v>
      </c>
      <c r="D73" s="12">
        <f>25839.39+70930.5</f>
        <v>96769.89</v>
      </c>
      <c r="E73" s="12">
        <f>16220.3+95684.2+2702.74</f>
        <v>114607.24</v>
      </c>
      <c r="F73" s="12">
        <f>116169.65+5997.88+1061.64+2359.09</f>
        <v>125588.26</v>
      </c>
      <c r="G73" s="16">
        <v>115030.44</v>
      </c>
      <c r="I73" s="16">
        <f>(I71+I72+I75+I76+I77+I78)*0.1482</f>
        <v>127396.71111616606</v>
      </c>
      <c r="J73" s="16">
        <f>111896.47/2</f>
        <v>55948.235000000001</v>
      </c>
      <c r="K73" s="16">
        <v>0</v>
      </c>
      <c r="L73" s="16">
        <v>0</v>
      </c>
      <c r="M73" s="16">
        <v>55948.24</v>
      </c>
      <c r="N73" s="16">
        <f>(N72+N75)*0.1482</f>
        <v>7750.1204154261886</v>
      </c>
      <c r="O73" s="16">
        <f>N73</f>
        <v>7750.1204154261886</v>
      </c>
      <c r="P73" s="16">
        <v>0</v>
      </c>
      <c r="Q73" s="16">
        <v>0</v>
      </c>
      <c r="R73" s="44">
        <f t="shared" si="37"/>
        <v>-4.71468631803873E-3</v>
      </c>
    </row>
    <row r="74" spans="1:23" x14ac:dyDescent="0.2">
      <c r="A74" s="2">
        <v>5203</v>
      </c>
      <c r="B74" s="2" t="s">
        <v>49</v>
      </c>
      <c r="C74" s="12">
        <f>501.89</f>
        <v>501.89</v>
      </c>
      <c r="D74" s="12">
        <f>1400+557</f>
        <v>1957</v>
      </c>
      <c r="E74" s="12">
        <f>504.93</f>
        <v>504.93</v>
      </c>
      <c r="F74" s="12">
        <f>2009.25</f>
        <v>2009.25</v>
      </c>
      <c r="G74" s="16">
        <v>686.73</v>
      </c>
      <c r="I74" s="16">
        <v>0</v>
      </c>
      <c r="J74" s="16">
        <f t="shared" ref="J74:J79" si="38">I74*0.5</f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44">
        <f t="shared" si="37"/>
        <v>0</v>
      </c>
    </row>
    <row r="75" spans="1:23" x14ac:dyDescent="0.2">
      <c r="A75" s="2">
        <v>5210</v>
      </c>
      <c r="B75" s="2" t="s">
        <v>50</v>
      </c>
      <c r="C75" s="12">
        <f>338.94+116913.9+329206.95</f>
        <v>446459.79000000004</v>
      </c>
      <c r="D75" s="12">
        <f>118601.06+334229.4</f>
        <v>452830.46</v>
      </c>
      <c r="E75" s="12">
        <f>73030.53+439855.33+14926.38</f>
        <v>527812.24</v>
      </c>
      <c r="F75" s="12">
        <f>522358.77+27833.3+12358.3</f>
        <v>562550.37000000011</v>
      </c>
      <c r="G75" s="16">
        <v>517048.6</v>
      </c>
      <c r="I75" s="16">
        <f>Staffing!F42+Staffing!F82</f>
        <v>547678.42232000001</v>
      </c>
      <c r="J75" s="16">
        <f>347030.85/2</f>
        <v>173515.42499999999</v>
      </c>
      <c r="K75" s="16">
        <v>65804.2</v>
      </c>
      <c r="L75" s="16">
        <v>64502.38</v>
      </c>
      <c r="M75" s="16">
        <v>173515.42</v>
      </c>
      <c r="N75" s="16">
        <f>Staffing!E42*0.5</f>
        <v>35170.495360000001</v>
      </c>
      <c r="O75" s="16">
        <v>35170.5</v>
      </c>
      <c r="P75" s="16">
        <v>0</v>
      </c>
      <c r="Q75" s="16">
        <v>0</v>
      </c>
      <c r="R75" s="113">
        <f t="shared" si="37"/>
        <v>1.959999994141981E-3</v>
      </c>
      <c r="W75" s="68"/>
    </row>
    <row r="76" spans="1:23" x14ac:dyDescent="0.2">
      <c r="A76" s="2">
        <v>5217</v>
      </c>
      <c r="B76" s="2" t="s">
        <v>51</v>
      </c>
      <c r="C76" s="12">
        <f>7408.21+17615.23</f>
        <v>25023.439999999999</v>
      </c>
      <c r="D76" s="12">
        <f>10180.53+19280.94</f>
        <v>29461.47</v>
      </c>
      <c r="E76" s="12">
        <f>3840.66+36449.86</f>
        <v>40290.520000000004</v>
      </c>
      <c r="F76" s="12">
        <f>18329.18+2101.6+367.64+5765</f>
        <v>26563.42</v>
      </c>
      <c r="G76" s="16">
        <v>18481.54</v>
      </c>
      <c r="I76" s="16">
        <f>Staffing!F36</f>
        <v>8955.232</v>
      </c>
      <c r="J76" s="16">
        <v>4477.62</v>
      </c>
      <c r="K76" s="16">
        <v>0</v>
      </c>
      <c r="L76" s="16">
        <f>I76*0.5</f>
        <v>4477.616</v>
      </c>
      <c r="M76" s="16"/>
      <c r="N76" s="16">
        <v>0</v>
      </c>
      <c r="O76" s="16">
        <v>0</v>
      </c>
      <c r="P76" s="16">
        <v>0</v>
      </c>
      <c r="Q76" s="16">
        <v>0</v>
      </c>
      <c r="R76" s="44">
        <f t="shared" si="37"/>
        <v>-3.9999999999054126E-3</v>
      </c>
      <c r="W76" s="68"/>
    </row>
    <row r="77" spans="1:23" x14ac:dyDescent="0.2">
      <c r="A77" s="2">
        <v>5218</v>
      </c>
      <c r="B77" s="2" t="s">
        <v>287</v>
      </c>
      <c r="C77" s="12">
        <f t="shared" ref="C77:C78" si="39">627.59+583.89</f>
        <v>1211.48</v>
      </c>
      <c r="D77" s="12">
        <f t="shared" ref="D77:D78" si="40">45+88.55</f>
        <v>133.55000000000001</v>
      </c>
      <c r="E77" s="12">
        <v>0</v>
      </c>
      <c r="F77" s="12">
        <v>0</v>
      </c>
      <c r="G77" s="16">
        <v>58729.34</v>
      </c>
      <c r="I77" s="16">
        <v>20000</v>
      </c>
      <c r="J77" s="16">
        <f>I77*0.5</f>
        <v>10000</v>
      </c>
      <c r="K77" s="16">
        <v>0</v>
      </c>
      <c r="L77" s="16">
        <v>10000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44">
        <f t="shared" ref="R77:R78" si="41">I77-J77-K77-L77-M77-N77-O77-P77-Q77</f>
        <v>0</v>
      </c>
    </row>
    <row r="78" spans="1:23" x14ac:dyDescent="0.2">
      <c r="A78" s="2">
        <v>5219</v>
      </c>
      <c r="B78" s="2" t="s">
        <v>288</v>
      </c>
      <c r="C78" s="12">
        <f t="shared" si="39"/>
        <v>1211.48</v>
      </c>
      <c r="D78" s="12">
        <f t="shared" si="40"/>
        <v>133.55000000000001</v>
      </c>
      <c r="E78" s="12">
        <v>0</v>
      </c>
      <c r="F78" s="12">
        <v>0</v>
      </c>
      <c r="G78" s="16">
        <v>3792.02</v>
      </c>
      <c r="I78" s="16">
        <v>1500</v>
      </c>
      <c r="J78" s="16">
        <v>750</v>
      </c>
      <c r="K78" s="16">
        <v>0</v>
      </c>
      <c r="L78" s="16">
        <f>I78*0.5</f>
        <v>750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44">
        <f t="shared" si="41"/>
        <v>0</v>
      </c>
    </row>
    <row r="79" spans="1:23" x14ac:dyDescent="0.2">
      <c r="A79" s="2">
        <v>5309</v>
      </c>
      <c r="B79" s="2" t="s">
        <v>52</v>
      </c>
      <c r="C79" s="12">
        <f>627.59+583.89</f>
        <v>1211.48</v>
      </c>
      <c r="D79" s="12">
        <f>45+88.55</f>
        <v>133.55000000000001</v>
      </c>
      <c r="E79" s="12">
        <v>0</v>
      </c>
      <c r="F79" s="12">
        <v>0</v>
      </c>
      <c r="G79" s="16">
        <v>0</v>
      </c>
      <c r="I79" s="16">
        <v>0</v>
      </c>
      <c r="J79" s="16">
        <f t="shared" si="38"/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44">
        <f t="shared" si="37"/>
        <v>0</v>
      </c>
    </row>
    <row r="80" spans="1:23" x14ac:dyDescent="0.2">
      <c r="A80" s="2">
        <v>5310</v>
      </c>
      <c r="B80" s="2" t="s">
        <v>53</v>
      </c>
      <c r="C80" s="12">
        <f>508.2+592.67+15074.85</f>
        <v>16175.720000000001</v>
      </c>
      <c r="D80" s="12">
        <f>1902.66+5455.55</f>
        <v>7358.21</v>
      </c>
      <c r="E80" s="12">
        <f>780.79+13573.23</f>
        <v>14354.02</v>
      </c>
      <c r="F80" s="12">
        <f>11990.95</f>
        <v>11990.95</v>
      </c>
      <c r="G80" s="16">
        <v>10016.59</v>
      </c>
      <c r="I80" s="16">
        <v>5000</v>
      </c>
      <c r="J80" s="16">
        <f>I80*0.5</f>
        <v>2500</v>
      </c>
      <c r="K80" s="16">
        <v>0</v>
      </c>
      <c r="L80" s="16">
        <v>2500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44">
        <f t="shared" si="37"/>
        <v>0</v>
      </c>
    </row>
    <row r="81" spans="1:23" x14ac:dyDescent="0.2">
      <c r="A81" s="2">
        <v>5351</v>
      </c>
      <c r="B81" s="2" t="s">
        <v>54</v>
      </c>
      <c r="C81" s="12">
        <f>19287.9+54192.43+193098.64</f>
        <v>266578.97000000003</v>
      </c>
      <c r="D81" s="12">
        <f>10554+71725.16+122546.61</f>
        <v>204825.77000000002</v>
      </c>
      <c r="E81" s="12">
        <f>44752.48+178771.42+27039.53</f>
        <v>250563.43000000002</v>
      </c>
      <c r="F81" s="12">
        <f>336653.15+3184.13</f>
        <v>339837.28</v>
      </c>
      <c r="G81" s="16">
        <v>368820.77</v>
      </c>
      <c r="I81" s="16">
        <v>340000</v>
      </c>
      <c r="J81" s="16">
        <f>190000*0.5</f>
        <v>95000</v>
      </c>
      <c r="K81" s="16">
        <v>0</v>
      </c>
      <c r="L81" s="16">
        <v>95000</v>
      </c>
      <c r="M81" s="16">
        <v>0</v>
      </c>
      <c r="N81" s="16">
        <v>10000</v>
      </c>
      <c r="O81" s="16">
        <v>10000</v>
      </c>
      <c r="P81" s="16">
        <v>130000</v>
      </c>
      <c r="Q81" s="16">
        <v>0</v>
      </c>
      <c r="R81" s="44">
        <f t="shared" si="37"/>
        <v>0</v>
      </c>
    </row>
    <row r="82" spans="1:23" x14ac:dyDescent="0.2">
      <c r="A82" s="2">
        <v>5352</v>
      </c>
      <c r="B82" s="2" t="s">
        <v>55</v>
      </c>
      <c r="C82" s="12">
        <f>10.78</f>
        <v>10.78</v>
      </c>
      <c r="D82" s="12">
        <f>40.07+303.54</f>
        <v>343.61</v>
      </c>
      <c r="E82" s="12">
        <v>0</v>
      </c>
      <c r="F82" s="12">
        <v>0</v>
      </c>
      <c r="G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44">
        <f t="shared" si="37"/>
        <v>0</v>
      </c>
    </row>
    <row r="83" spans="1:23" x14ac:dyDescent="0.2">
      <c r="A83" s="2">
        <v>5363</v>
      </c>
      <c r="B83" s="2" t="s">
        <v>56</v>
      </c>
      <c r="C83" s="12">
        <f>5243.88</f>
        <v>5243.88</v>
      </c>
      <c r="D83" s="12">
        <f>3822.63+8482.48</f>
        <v>12305.11</v>
      </c>
      <c r="E83" s="12">
        <f>4727.54+24893.94</f>
        <v>29621.48</v>
      </c>
      <c r="F83" s="12">
        <f>32301.04</f>
        <v>32301.040000000001</v>
      </c>
      <c r="G83" s="16">
        <v>32840.83</v>
      </c>
      <c r="I83" s="16">
        <v>32000</v>
      </c>
      <c r="J83" s="16">
        <f>I83*0.5</f>
        <v>16000</v>
      </c>
      <c r="K83" s="16">
        <v>0</v>
      </c>
      <c r="L83" s="16">
        <v>16000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44">
        <f t="shared" si="37"/>
        <v>0</v>
      </c>
    </row>
    <row r="84" spans="1:23" x14ac:dyDescent="0.2">
      <c r="A84" s="2">
        <v>5516</v>
      </c>
      <c r="B84" s="2" t="s">
        <v>119</v>
      </c>
      <c r="C84" s="12">
        <f>220.6+3075.35</f>
        <v>3295.95</v>
      </c>
      <c r="D84" s="12">
        <f>857.03+4546.65</f>
        <v>5403.6799999999994</v>
      </c>
      <c r="E84" s="12">
        <f>2209.86+17890.31</f>
        <v>20100.170000000002</v>
      </c>
      <c r="F84" s="12">
        <f>25154.26+153.86</f>
        <v>25308.12</v>
      </c>
      <c r="G84" s="16">
        <v>12496.89</v>
      </c>
      <c r="I84" s="16">
        <v>10000</v>
      </c>
      <c r="J84" s="16">
        <v>3000</v>
      </c>
      <c r="K84" s="16">
        <v>0</v>
      </c>
      <c r="L84" s="16">
        <v>3000</v>
      </c>
      <c r="M84" s="16">
        <v>0</v>
      </c>
      <c r="N84" s="16">
        <v>2000</v>
      </c>
      <c r="O84" s="16">
        <v>2000</v>
      </c>
      <c r="P84" s="16">
        <v>0</v>
      </c>
      <c r="Q84" s="16">
        <v>0</v>
      </c>
      <c r="R84" s="44">
        <f t="shared" si="37"/>
        <v>0</v>
      </c>
    </row>
    <row r="85" spans="1:23" x14ac:dyDescent="0.2">
      <c r="A85" s="2">
        <v>5711</v>
      </c>
      <c r="B85" s="2" t="s">
        <v>39</v>
      </c>
      <c r="C85" s="12">
        <f>11867.83+19161.94</f>
        <v>31029.769999999997</v>
      </c>
      <c r="D85" s="12">
        <f>9343.05+22473.35</f>
        <v>31816.399999999998</v>
      </c>
      <c r="E85" s="12">
        <f>7599.75+38147.9</f>
        <v>45747.65</v>
      </c>
      <c r="F85" s="12">
        <f>51000.11+3799.41+330.07</f>
        <v>55129.590000000004</v>
      </c>
      <c r="G85" s="16">
        <v>54931.72</v>
      </c>
      <c r="I85" s="16">
        <v>60000</v>
      </c>
      <c r="J85" s="16">
        <v>25000</v>
      </c>
      <c r="K85" s="16">
        <v>0</v>
      </c>
      <c r="L85" s="16">
        <v>25000</v>
      </c>
      <c r="M85" s="16">
        <v>0</v>
      </c>
      <c r="N85" s="16">
        <v>5000</v>
      </c>
      <c r="O85" s="16">
        <v>5000</v>
      </c>
      <c r="P85" s="16">
        <v>0</v>
      </c>
      <c r="Q85" s="16">
        <v>0</v>
      </c>
      <c r="R85" s="44">
        <f t="shared" si="37"/>
        <v>0</v>
      </c>
    </row>
    <row r="86" spans="1:23" x14ac:dyDescent="0.2">
      <c r="A86" s="2">
        <v>5713</v>
      </c>
      <c r="B86" s="2" t="s">
        <v>120</v>
      </c>
      <c r="C86" s="12">
        <v>0</v>
      </c>
      <c r="D86" s="12">
        <v>0</v>
      </c>
      <c r="E86" s="12">
        <v>0</v>
      </c>
      <c r="F86" s="12">
        <v>0</v>
      </c>
      <c r="G86" s="16">
        <v>2099.09</v>
      </c>
      <c r="I86" s="16">
        <v>1800</v>
      </c>
      <c r="J86" s="16">
        <v>900</v>
      </c>
      <c r="K86" s="16">
        <v>0</v>
      </c>
      <c r="L86" s="16">
        <v>900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44">
        <f t="shared" si="37"/>
        <v>0</v>
      </c>
    </row>
    <row r="87" spans="1:23" x14ac:dyDescent="0.2">
      <c r="A87" s="2">
        <v>5631</v>
      </c>
      <c r="B87" s="2" t="s">
        <v>57</v>
      </c>
      <c r="C87" s="12">
        <f>1536</f>
        <v>1536</v>
      </c>
      <c r="D87" s="12">
        <f>276+736</f>
        <v>1012</v>
      </c>
      <c r="E87" s="12">
        <f>92+636.24</f>
        <v>728.24</v>
      </c>
      <c r="F87" s="12">
        <v>0</v>
      </c>
      <c r="G87" s="16">
        <v>0</v>
      </c>
      <c r="I87" s="16">
        <v>0</v>
      </c>
      <c r="J87" s="16">
        <f t="shared" ref="J87" si="42">I87*0.5</f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44">
        <f t="shared" si="37"/>
        <v>0</v>
      </c>
    </row>
    <row r="88" spans="1:23" x14ac:dyDescent="0.2">
      <c r="A88" s="2">
        <v>5751</v>
      </c>
      <c r="B88" s="2" t="s">
        <v>58</v>
      </c>
      <c r="C88" s="12">
        <f>100+675+2540</f>
        <v>3315</v>
      </c>
      <c r="D88" s="12">
        <f>808+433</f>
        <v>1241</v>
      </c>
      <c r="E88" s="12">
        <f>676.94+6066.82</f>
        <v>6743.76</v>
      </c>
      <c r="F88" s="12">
        <f>851.5-4.58</f>
        <v>846.92</v>
      </c>
      <c r="G88" s="16">
        <v>3765.63</v>
      </c>
      <c r="I88" s="16">
        <v>3000</v>
      </c>
      <c r="J88" s="16">
        <v>1500</v>
      </c>
      <c r="K88" s="16">
        <v>0</v>
      </c>
      <c r="L88" s="16">
        <v>1500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44">
        <f t="shared" si="37"/>
        <v>0</v>
      </c>
    </row>
    <row r="89" spans="1:23" x14ac:dyDescent="0.2">
      <c r="A89" s="2">
        <v>5791</v>
      </c>
      <c r="B89" s="2" t="s">
        <v>47</v>
      </c>
      <c r="C89" s="12">
        <f>278.75</f>
        <v>278.75</v>
      </c>
      <c r="D89" s="12">
        <f>376.25+72</f>
        <v>448.25</v>
      </c>
      <c r="E89" s="12">
        <v>0</v>
      </c>
      <c r="F89" s="12">
        <v>0</v>
      </c>
      <c r="G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44">
        <f t="shared" si="37"/>
        <v>0</v>
      </c>
    </row>
    <row r="90" spans="1:23" x14ac:dyDescent="0.2">
      <c r="A90" s="2">
        <v>5793</v>
      </c>
      <c r="B90" s="2" t="s">
        <v>59</v>
      </c>
      <c r="C90" s="12">
        <f>60+305+1231</f>
        <v>1596</v>
      </c>
      <c r="D90" s="12">
        <f>645+1080</f>
        <v>1725</v>
      </c>
      <c r="E90" s="12">
        <f>165+1474.5</f>
        <v>1639.5</v>
      </c>
      <c r="F90" s="12">
        <f>1876.67+325</f>
        <v>2201.67</v>
      </c>
      <c r="G90" s="16">
        <v>2742.16</v>
      </c>
      <c r="I90" s="16">
        <v>2250</v>
      </c>
      <c r="J90" s="16">
        <f>I89:I90*0.5</f>
        <v>1125</v>
      </c>
      <c r="K90" s="16">
        <v>0</v>
      </c>
      <c r="L90" s="16">
        <v>1125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44">
        <f t="shared" si="37"/>
        <v>0</v>
      </c>
    </row>
    <row r="91" spans="1:23" x14ac:dyDescent="0.2">
      <c r="A91" s="2">
        <v>5795</v>
      </c>
      <c r="B91" s="2" t="s">
        <v>60</v>
      </c>
      <c r="C91" s="12">
        <f>50+2597.5+370</f>
        <v>3017.5</v>
      </c>
      <c r="D91" s="12">
        <f>588.5+3342.75</f>
        <v>3931.25</v>
      </c>
      <c r="E91" s="12">
        <f>335+5000</f>
        <v>5335</v>
      </c>
      <c r="F91" s="12">
        <f>3900</f>
        <v>3900</v>
      </c>
      <c r="G91" s="16">
        <v>3610</v>
      </c>
      <c r="I91" s="16">
        <v>4000</v>
      </c>
      <c r="J91" s="16">
        <f t="shared" ref="J91:J92" si="43">I90:I91*0.5</f>
        <v>2000</v>
      </c>
      <c r="K91" s="16">
        <v>0</v>
      </c>
      <c r="L91" s="16">
        <v>2000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44">
        <f t="shared" si="37"/>
        <v>0</v>
      </c>
    </row>
    <row r="92" spans="1:23" x14ac:dyDescent="0.2">
      <c r="A92" s="2">
        <v>5796</v>
      </c>
      <c r="B92" s="2" t="s">
        <v>61</v>
      </c>
      <c r="C92" s="12">
        <f>66+3834.99</f>
        <v>3900.99</v>
      </c>
      <c r="D92" s="12">
        <f>1785+10541.6</f>
        <v>12326.6</v>
      </c>
      <c r="E92" s="12">
        <f>5428+1258.43</f>
        <v>6686.43</v>
      </c>
      <c r="F92" s="12">
        <f>2864.61+372.5</f>
        <v>3237.11</v>
      </c>
      <c r="G92" s="16">
        <v>11118.63</v>
      </c>
      <c r="I92" s="16">
        <v>1700</v>
      </c>
      <c r="J92" s="16">
        <f t="shared" si="43"/>
        <v>850</v>
      </c>
      <c r="K92" s="16">
        <v>0</v>
      </c>
      <c r="L92" s="16">
        <v>850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44">
        <f t="shared" si="37"/>
        <v>0</v>
      </c>
      <c r="U92" s="63"/>
    </row>
    <row r="93" spans="1:23" x14ac:dyDescent="0.2">
      <c r="A93" s="2">
        <v>6791</v>
      </c>
      <c r="B93" s="2" t="s">
        <v>62</v>
      </c>
      <c r="C93" s="5">
        <v>0</v>
      </c>
      <c r="D93" s="5">
        <v>0</v>
      </c>
      <c r="E93" s="5">
        <v>0</v>
      </c>
      <c r="F93" s="5">
        <v>0</v>
      </c>
      <c r="G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44">
        <f t="shared" si="37"/>
        <v>0</v>
      </c>
    </row>
    <row r="94" spans="1:23" x14ac:dyDescent="0.2">
      <c r="A94" s="2"/>
      <c r="B94" s="2" t="s">
        <v>63</v>
      </c>
      <c r="C94" s="15">
        <f>SUM(C71:C93)</f>
        <v>1238461.2699999998</v>
      </c>
      <c r="D94" s="15">
        <f>SUM(D71:D93)</f>
        <v>1176360.7100000002</v>
      </c>
      <c r="E94" s="15">
        <f>SUM(E71:E93)</f>
        <v>1439922.4999999998</v>
      </c>
      <c r="F94" s="15">
        <f>SUM(F71:F93)</f>
        <v>1586843.6800000002</v>
      </c>
      <c r="G94" s="15">
        <f t="shared" ref="G94" si="44">SUM(G71:G93)</f>
        <v>1581945.75</v>
      </c>
      <c r="I94" s="15">
        <f t="shared" ref="I94" si="45">SUM(I71:I93)</f>
        <v>1446773.6417245739</v>
      </c>
      <c r="J94" s="82">
        <f t="shared" ref="J94" si="46">SUM(J71:J93)</f>
        <v>516188.40499999997</v>
      </c>
      <c r="K94" s="15">
        <f>SUM(K71:K93)</f>
        <v>65804.2</v>
      </c>
      <c r="L94" s="15">
        <f t="shared" ref="L94:N94" si="47">SUM(L71:L93)</f>
        <v>227604.99599999998</v>
      </c>
      <c r="M94" s="15">
        <f>SUM(M71:M93)</f>
        <v>353085.78</v>
      </c>
      <c r="N94" s="15">
        <f t="shared" si="47"/>
        <v>77045.129966210196</v>
      </c>
      <c r="O94" s="15">
        <f t="shared" ref="O94" si="48">SUM(O71:O93)</f>
        <v>77045.134606210195</v>
      </c>
      <c r="P94" s="15">
        <f>SUM(P71:P93)</f>
        <v>130000</v>
      </c>
      <c r="Q94" s="15">
        <f t="shared" ref="Q94" si="49">SUM(Q71:Q93)</f>
        <v>0</v>
      </c>
      <c r="R94" s="15">
        <f t="shared" ref="R94" si="50">SUM(R71:R93)</f>
        <v>-3.8478463493447634E-3</v>
      </c>
      <c r="T94" s="65">
        <v>227605</v>
      </c>
      <c r="U94" s="81">
        <v>616085</v>
      </c>
      <c r="W94" s="68"/>
    </row>
    <row r="95" spans="1:23" x14ac:dyDescent="0.2">
      <c r="A95" s="2"/>
      <c r="B95" s="2"/>
      <c r="C95" s="42"/>
      <c r="D95" s="42"/>
      <c r="E95" s="42"/>
      <c r="F95" s="42"/>
      <c r="G95" s="16"/>
      <c r="I95" s="16"/>
      <c r="T95" s="65">
        <f>T94-L94</f>
        <v>4.0000000153668225E-3</v>
      </c>
    </row>
    <row r="96" spans="1:23" x14ac:dyDescent="0.2">
      <c r="A96" s="2">
        <v>5110</v>
      </c>
      <c r="B96" s="2" t="s">
        <v>29</v>
      </c>
      <c r="C96" s="12">
        <f>9634.28+3428.6+32892.82</f>
        <v>45955.7</v>
      </c>
      <c r="D96" s="12">
        <f>14847.86+32251.08</f>
        <v>47098.94</v>
      </c>
      <c r="E96" s="12">
        <f>8128.53+31632.43</f>
        <v>39760.959999999999</v>
      </c>
      <c r="F96" s="12">
        <f>3024.14+10344.86</f>
        <v>13369</v>
      </c>
      <c r="G96" s="16">
        <v>52992.29</v>
      </c>
      <c r="I96" s="16">
        <f>Staffing!F23</f>
        <v>0</v>
      </c>
      <c r="J96" s="16">
        <f>I96*0.8</f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44">
        <f t="shared" ref="R96:R98" si="51">I96-J96-K96-L96-M96-N96-O96-P96-Q96</f>
        <v>0</v>
      </c>
      <c r="V96" s="68"/>
    </row>
    <row r="97" spans="1:22" x14ac:dyDescent="0.2">
      <c r="A97" s="2">
        <v>5150</v>
      </c>
      <c r="B97" s="2" t="s">
        <v>30</v>
      </c>
      <c r="C97" s="5">
        <f>4424.06+1194.96+49.68+9.28+452.56+11464.07+476.88+88.78+86.4+4341.82</f>
        <v>22588.49</v>
      </c>
      <c r="D97" s="12">
        <f>6462.39+54.44+10.16+495.84+14984.21</f>
        <v>22007.040000000001</v>
      </c>
      <c r="E97" s="12">
        <f>3881.75+15350.95</f>
        <v>19232.7</v>
      </c>
      <c r="F97" s="12">
        <f>1476.14+5113.7</f>
        <v>6589.84</v>
      </c>
      <c r="G97" s="16">
        <v>24585.67</v>
      </c>
      <c r="I97" s="16">
        <f>I96*0.4922</f>
        <v>0</v>
      </c>
      <c r="J97" s="16">
        <f t="shared" ref="J97:J98" si="52">I97*0.8</f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44">
        <f t="shared" si="51"/>
        <v>0</v>
      </c>
    </row>
    <row r="98" spans="1:22" x14ac:dyDescent="0.2">
      <c r="A98" s="2">
        <v>5199</v>
      </c>
      <c r="B98" s="2" t="s">
        <v>31</v>
      </c>
      <c r="C98" s="12">
        <f>2773.71+622.38+5981.32</f>
        <v>9377.41</v>
      </c>
      <c r="D98" s="12">
        <f>2662.09+5758</f>
        <v>8420.09</v>
      </c>
      <c r="E98" s="12">
        <f>1464.06+5727.34</f>
        <v>7191.4</v>
      </c>
      <c r="F98" s="12">
        <f>550.08+1963.7</f>
        <v>2513.7800000000002</v>
      </c>
      <c r="G98" s="16">
        <v>9189.65</v>
      </c>
      <c r="I98" s="16">
        <f>(I96+I97)*0.1255</f>
        <v>0</v>
      </c>
      <c r="J98" s="16">
        <f t="shared" si="52"/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44">
        <f t="shared" si="51"/>
        <v>0</v>
      </c>
    </row>
    <row r="99" spans="1:22" x14ac:dyDescent="0.2">
      <c r="A99" s="2"/>
      <c r="B99" s="2" t="s">
        <v>64</v>
      </c>
      <c r="C99" s="15">
        <f>SUM(C96:C98)</f>
        <v>77921.600000000006</v>
      </c>
      <c r="D99" s="15">
        <f>SUM(D96:D98)</f>
        <v>77526.070000000007</v>
      </c>
      <c r="E99" s="15">
        <f>SUM(E96:E98)</f>
        <v>66185.06</v>
      </c>
      <c r="F99" s="15">
        <f>SUM(F96:F98)</f>
        <v>22472.62</v>
      </c>
      <c r="G99" s="15">
        <f t="shared" ref="G99" si="53">SUM(G96:G98)</f>
        <v>86767.609999999986</v>
      </c>
      <c r="I99" s="15">
        <f t="shared" ref="I99" si="54">SUM(I96:I98)</f>
        <v>0</v>
      </c>
      <c r="J99" s="15">
        <f t="shared" ref="J99" si="55">SUM(J96:J98)</f>
        <v>0</v>
      </c>
      <c r="K99" s="15">
        <f>SUM(K96:K98)</f>
        <v>0</v>
      </c>
      <c r="L99" s="15">
        <f t="shared" ref="L99:N99" si="56">SUM(L96:L98)</f>
        <v>0</v>
      </c>
      <c r="M99" s="15">
        <f>SUM(M96:M98)</f>
        <v>0</v>
      </c>
      <c r="N99" s="15">
        <f t="shared" si="56"/>
        <v>0</v>
      </c>
      <c r="O99" s="15">
        <f t="shared" ref="O99" si="57">SUM(O96:O98)</f>
        <v>0</v>
      </c>
      <c r="P99" s="15">
        <f>SUM(P96:P98)</f>
        <v>0</v>
      </c>
      <c r="Q99" s="15">
        <f t="shared" ref="Q99" si="58">SUM(Q96:Q98)</f>
        <v>0</v>
      </c>
      <c r="R99" s="15">
        <f t="shared" ref="R99" si="59">SUM(R96:R98)</f>
        <v>0</v>
      </c>
    </row>
    <row r="100" spans="1:22" x14ac:dyDescent="0.2">
      <c r="A100" s="2"/>
      <c r="B100" s="2"/>
      <c r="C100" s="42"/>
      <c r="D100" s="42"/>
      <c r="E100" s="42"/>
      <c r="F100" s="42"/>
      <c r="G100" s="16"/>
      <c r="I100" s="16"/>
    </row>
    <row r="101" spans="1:22" x14ac:dyDescent="0.2">
      <c r="A101" s="2">
        <v>5110</v>
      </c>
      <c r="B101" s="2" t="s">
        <v>29</v>
      </c>
      <c r="C101" s="12">
        <f>3641.68+6637.94+34417.31</f>
        <v>44696.929999999993</v>
      </c>
      <c r="D101" s="12">
        <f>10761.88+36776.26</f>
        <v>47538.14</v>
      </c>
      <c r="E101" s="12">
        <f>8381.67+43684.9</f>
        <v>52066.57</v>
      </c>
      <c r="F101" s="12">
        <f>48412.26+2258.29</f>
        <v>50670.55</v>
      </c>
      <c r="G101" s="16">
        <v>24030.25</v>
      </c>
      <c r="I101" s="16">
        <f>Staffing!F28</f>
        <v>12487.2</v>
      </c>
      <c r="J101" s="16">
        <v>0</v>
      </c>
      <c r="K101" s="16">
        <v>0</v>
      </c>
      <c r="L101" s="16">
        <v>0</v>
      </c>
      <c r="M101" s="16">
        <v>0</v>
      </c>
      <c r="N101" s="16">
        <f>I101*0.8</f>
        <v>9989.760000000002</v>
      </c>
      <c r="O101" s="16">
        <v>2497.44</v>
      </c>
      <c r="P101" s="16">
        <v>0</v>
      </c>
      <c r="Q101" s="16">
        <v>0</v>
      </c>
      <c r="R101" s="44">
        <f t="shared" ref="R101:R110" si="60">I101-J101-K101-L101-M101-N101-O101-P101-Q101</f>
        <v>-1.3642420526593924E-12</v>
      </c>
    </row>
    <row r="102" spans="1:22" x14ac:dyDescent="0.2">
      <c r="A102" s="2">
        <v>5118</v>
      </c>
      <c r="B102" s="2" t="s">
        <v>289</v>
      </c>
      <c r="C102" s="12">
        <f>278.75</f>
        <v>278.75</v>
      </c>
      <c r="D102" s="12">
        <f>376.25+72</f>
        <v>448.25</v>
      </c>
      <c r="E102" s="12">
        <v>0</v>
      </c>
      <c r="F102" s="12">
        <v>0</v>
      </c>
      <c r="G102" s="16">
        <v>15.75</v>
      </c>
      <c r="I102" s="16">
        <v>0</v>
      </c>
      <c r="J102" s="16">
        <f t="shared" ref="J102" si="61">I102*0.5</f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44">
        <f t="shared" si="60"/>
        <v>0</v>
      </c>
    </row>
    <row r="103" spans="1:22" x14ac:dyDescent="0.2">
      <c r="A103" s="2">
        <v>5150</v>
      </c>
      <c r="B103" s="2" t="s">
        <v>30</v>
      </c>
      <c r="C103" s="12">
        <f>1672.26+2313.5+96.26+316.34+876.2+11995.37+498.97+1297.37+189.56+4543.1</f>
        <v>23798.93</v>
      </c>
      <c r="D103" s="12">
        <f>4579.37+52.54+136.62+478.4+17241.85</f>
        <v>22488.78</v>
      </c>
      <c r="E103" s="12">
        <f>4054.11+21192.75</f>
        <v>25246.86</v>
      </c>
      <c r="F103" s="12">
        <f>23922.68+1098.66</f>
        <v>25021.34</v>
      </c>
      <c r="G103" s="16">
        <v>11781.57</v>
      </c>
      <c r="I103" s="16">
        <f>(I101+I102)*0.4869</f>
        <v>6080.0176799999999</v>
      </c>
      <c r="J103" s="16">
        <v>0</v>
      </c>
      <c r="K103" s="16">
        <v>0</v>
      </c>
      <c r="L103" s="16">
        <v>0</v>
      </c>
      <c r="M103" s="16">
        <v>0</v>
      </c>
      <c r="N103" s="16">
        <f>I103*0.8</f>
        <v>4864.0141439999998</v>
      </c>
      <c r="O103" s="16">
        <f>O101*0.4869</f>
        <v>1216.0035359999999</v>
      </c>
      <c r="P103" s="16">
        <v>0</v>
      </c>
      <c r="Q103" s="16">
        <v>0</v>
      </c>
      <c r="R103" s="44">
        <f t="shared" si="60"/>
        <v>2.2737367544323206E-13</v>
      </c>
    </row>
    <row r="104" spans="1:22" x14ac:dyDescent="0.2">
      <c r="A104" s="2">
        <v>5199</v>
      </c>
      <c r="B104" s="2" t="s">
        <v>31</v>
      </c>
      <c r="C104" s="12">
        <f>1048.44+1159.34+6416.53</f>
        <v>8624.31</v>
      </c>
      <c r="D104" s="12">
        <f>1947.6+6625.54</f>
        <v>8573.14</v>
      </c>
      <c r="E104" s="12">
        <f>1515.94+7908.64</f>
        <v>9424.58</v>
      </c>
      <c r="F104" s="12">
        <f>9180.15+409.22</f>
        <v>9589.369999999999</v>
      </c>
      <c r="G104" s="16">
        <v>4408.71</v>
      </c>
      <c r="I104" s="16">
        <f>(I101+I102+I103)*0.1482</f>
        <v>2751.6616601760002</v>
      </c>
      <c r="J104" s="16">
        <v>0</v>
      </c>
      <c r="K104" s="16">
        <v>0</v>
      </c>
      <c r="L104" s="16">
        <v>0</v>
      </c>
      <c r="M104" s="16">
        <v>0</v>
      </c>
      <c r="N104" s="16">
        <f>I104*0.8</f>
        <v>2201.3293281408</v>
      </c>
      <c r="O104" s="16">
        <v>550.33000000000004</v>
      </c>
      <c r="P104" s="16">
        <v>0</v>
      </c>
      <c r="Q104" s="16">
        <v>0</v>
      </c>
      <c r="R104" s="44">
        <f t="shared" si="60"/>
        <v>2.3320352000837374E-3</v>
      </c>
    </row>
    <row r="105" spans="1:22" x14ac:dyDescent="0.2">
      <c r="A105" s="2">
        <v>5361</v>
      </c>
      <c r="B105" s="2" t="s">
        <v>65</v>
      </c>
      <c r="C105" s="12">
        <f>17208.85+1905.99+23872.66+23434.84</f>
        <v>66422.34</v>
      </c>
      <c r="D105" s="12">
        <f>15814.83+36072.4</f>
        <v>51887.23</v>
      </c>
      <c r="E105" s="12">
        <f>736.6+76593.27</f>
        <v>77329.87000000001</v>
      </c>
      <c r="F105" s="12">
        <f>36227.37+375</f>
        <v>36602.370000000003</v>
      </c>
      <c r="G105" s="16">
        <v>28785.8</v>
      </c>
      <c r="I105" s="16">
        <v>32000</v>
      </c>
      <c r="J105" s="16">
        <f t="shared" ref="J105:J108" si="62">I105*0.8</f>
        <v>25600</v>
      </c>
      <c r="K105" s="16">
        <v>0</v>
      </c>
      <c r="L105" s="16">
        <v>0</v>
      </c>
      <c r="M105" s="16">
        <v>6400</v>
      </c>
      <c r="N105" s="16">
        <v>0</v>
      </c>
      <c r="O105" s="16">
        <v>0</v>
      </c>
      <c r="P105" s="16">
        <v>0</v>
      </c>
      <c r="Q105" s="16">
        <v>0</v>
      </c>
      <c r="R105" s="44">
        <f t="shared" si="60"/>
        <v>0</v>
      </c>
    </row>
    <row r="106" spans="1:22" x14ac:dyDescent="0.2">
      <c r="A106" s="2">
        <v>5362</v>
      </c>
      <c r="B106" s="2" t="s">
        <v>66</v>
      </c>
      <c r="C106" s="12">
        <f>45166.1+158648.06</f>
        <v>203814.16</v>
      </c>
      <c r="D106" s="12">
        <f>64099.18+139858.09</f>
        <v>203957.27</v>
      </c>
      <c r="E106" s="12">
        <f>29801.08+192448.85</f>
        <v>222249.93</v>
      </c>
      <c r="F106" s="12">
        <f>264318.48+168.5+2381.05</f>
        <v>266868.02999999997</v>
      </c>
      <c r="G106" s="16">
        <v>289431.99</v>
      </c>
      <c r="I106" s="16">
        <v>270000</v>
      </c>
      <c r="J106" s="16">
        <v>135937.5</v>
      </c>
      <c r="K106" s="16">
        <v>0</v>
      </c>
      <c r="L106" s="16">
        <v>53000</v>
      </c>
      <c r="M106" s="16">
        <f>(66250-53000)+45312.5</f>
        <v>58562.5</v>
      </c>
      <c r="N106" s="16">
        <v>18000</v>
      </c>
      <c r="O106" s="16">
        <v>4500</v>
      </c>
      <c r="P106" s="16">
        <v>0</v>
      </c>
      <c r="Q106" s="16">
        <v>0</v>
      </c>
      <c r="R106" s="44">
        <f t="shared" si="60"/>
        <v>0</v>
      </c>
    </row>
    <row r="107" spans="1:22" x14ac:dyDescent="0.2">
      <c r="A107" s="2">
        <v>5712</v>
      </c>
      <c r="B107" s="2" t="s">
        <v>24</v>
      </c>
      <c r="C107" s="12">
        <f>452.62+499.88+709.17</f>
        <v>1661.67</v>
      </c>
      <c r="D107" s="12">
        <f>432.95</f>
        <v>432.95</v>
      </c>
      <c r="E107" s="12">
        <f>618.46+4593</f>
        <v>5211.46</v>
      </c>
      <c r="F107" s="12">
        <f>10136.07+34455.3+38434</f>
        <v>83025.37</v>
      </c>
      <c r="G107" s="16">
        <v>37821.620000000003</v>
      </c>
      <c r="I107" s="16">
        <v>42185</v>
      </c>
      <c r="J107" s="16">
        <f t="shared" si="62"/>
        <v>33748</v>
      </c>
      <c r="K107" s="16">
        <v>0</v>
      </c>
      <c r="L107" s="16">
        <v>0</v>
      </c>
      <c r="M107" s="16">
        <v>8437</v>
      </c>
      <c r="N107" s="16">
        <v>0</v>
      </c>
      <c r="O107" s="16">
        <v>0</v>
      </c>
      <c r="P107" s="16">
        <v>0</v>
      </c>
      <c r="Q107" s="16">
        <v>0</v>
      </c>
      <c r="R107" s="44">
        <f t="shared" si="60"/>
        <v>0</v>
      </c>
    </row>
    <row r="108" spans="1:22" ht="22.5" x14ac:dyDescent="0.2">
      <c r="A108" s="2">
        <v>5713</v>
      </c>
      <c r="B108" s="2" t="s">
        <v>121</v>
      </c>
      <c r="C108" s="12">
        <f>25+262.5+2078.32</f>
        <v>2365.8200000000002</v>
      </c>
      <c r="D108" s="12">
        <f>1633.96+2341.76</f>
        <v>3975.7200000000003</v>
      </c>
      <c r="E108" s="12">
        <f>-26.35+1233.55</f>
        <v>1207.2</v>
      </c>
      <c r="F108" s="12">
        <f>972.71+25</f>
        <v>997.71</v>
      </c>
      <c r="G108" s="16">
        <v>637.76</v>
      </c>
      <c r="I108" s="16">
        <v>1000</v>
      </c>
      <c r="J108" s="16">
        <f t="shared" si="62"/>
        <v>800</v>
      </c>
      <c r="K108" s="16">
        <v>0</v>
      </c>
      <c r="L108" s="16">
        <v>0</v>
      </c>
      <c r="M108" s="16">
        <v>200</v>
      </c>
      <c r="N108" s="16">
        <v>0</v>
      </c>
      <c r="O108" s="16">
        <v>0</v>
      </c>
      <c r="P108" s="16">
        <v>0</v>
      </c>
      <c r="Q108" s="16">
        <v>0</v>
      </c>
      <c r="R108" s="44">
        <f t="shared" si="60"/>
        <v>0</v>
      </c>
    </row>
    <row r="109" spans="1:22" x14ac:dyDescent="0.2">
      <c r="A109" s="2">
        <v>5732</v>
      </c>
      <c r="B109" s="2" t="s">
        <v>67</v>
      </c>
      <c r="C109" s="12">
        <v>660</v>
      </c>
      <c r="D109" s="12">
        <f>1320+1980</f>
        <v>3300</v>
      </c>
      <c r="E109" s="12">
        <f>1320+660</f>
        <v>1980</v>
      </c>
      <c r="F109" s="12">
        <v>0</v>
      </c>
      <c r="G109" s="16">
        <v>0</v>
      </c>
      <c r="I109" s="16">
        <v>0</v>
      </c>
      <c r="J109" s="16">
        <f t="shared" ref="J109" si="63">I109*0.8</f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44">
        <f t="shared" si="60"/>
        <v>0</v>
      </c>
    </row>
    <row r="110" spans="1:22" x14ac:dyDescent="0.2">
      <c r="A110" s="2">
        <v>5733</v>
      </c>
      <c r="B110" s="2" t="s">
        <v>68</v>
      </c>
      <c r="C110" s="5">
        <v>0</v>
      </c>
      <c r="D110" s="5">
        <v>0</v>
      </c>
      <c r="E110" s="5">
        <f>1738.47</f>
        <v>1738.47</v>
      </c>
      <c r="F110" s="5">
        <f>244.7</f>
        <v>244.7</v>
      </c>
      <c r="G110" s="16">
        <v>58.03</v>
      </c>
      <c r="I110" s="16">
        <v>500</v>
      </c>
      <c r="J110" s="16">
        <f>I110*0.8</f>
        <v>400</v>
      </c>
      <c r="K110" s="16">
        <v>0</v>
      </c>
      <c r="L110" s="16">
        <v>0</v>
      </c>
      <c r="M110" s="16">
        <v>100</v>
      </c>
      <c r="N110" s="16">
        <v>0</v>
      </c>
      <c r="O110" s="16">
        <v>0</v>
      </c>
      <c r="P110" s="16">
        <v>0</v>
      </c>
      <c r="Q110" s="16">
        <v>0</v>
      </c>
      <c r="R110" s="44">
        <f t="shared" si="60"/>
        <v>0</v>
      </c>
    </row>
    <row r="111" spans="1:22" x14ac:dyDescent="0.2">
      <c r="A111" s="2"/>
      <c r="B111" s="2" t="s">
        <v>69</v>
      </c>
      <c r="C111" s="15">
        <f>SUM(C101:C110)</f>
        <v>352322.91</v>
      </c>
      <c r="D111" s="15">
        <f>SUM(D101:D110)</f>
        <v>342601.48</v>
      </c>
      <c r="E111" s="15">
        <f>SUM(E101:E110)</f>
        <v>396454.94</v>
      </c>
      <c r="F111" s="15">
        <f>SUM(F101:F110)</f>
        <v>473019.44</v>
      </c>
      <c r="G111" s="15">
        <f t="shared" ref="G111" si="64">SUM(G101:G110)</f>
        <v>396971.48000000004</v>
      </c>
      <c r="I111" s="15">
        <f t="shared" ref="I111" si="65">SUM(I101:I110)</f>
        <v>367003.879340176</v>
      </c>
      <c r="J111" s="82">
        <f t="shared" ref="J111" si="66">SUM(J101:J110)</f>
        <v>196485.5</v>
      </c>
      <c r="K111" s="15">
        <f>SUM(K101:K110)</f>
        <v>0</v>
      </c>
      <c r="L111" s="15">
        <f t="shared" ref="L111:N111" si="67">SUM(L101:L110)</f>
        <v>53000</v>
      </c>
      <c r="M111" s="15">
        <f>SUM(M101:M110)</f>
        <v>73699.5</v>
      </c>
      <c r="N111" s="15">
        <f t="shared" si="67"/>
        <v>35055.103472140807</v>
      </c>
      <c r="O111" s="15">
        <f t="shared" ref="O111" si="68">SUM(O101:O110)</f>
        <v>8763.7735360000006</v>
      </c>
      <c r="P111" s="15">
        <f>SUM(P101:P110)</f>
        <v>0</v>
      </c>
      <c r="Q111" s="15">
        <f t="shared" ref="Q111" si="69">SUM(Q101:Q110)</f>
        <v>0</v>
      </c>
      <c r="R111" s="15">
        <f t="shared" ref="R111" si="70">SUM(R101:R110)</f>
        <v>2.3320351989468691E-3</v>
      </c>
      <c r="U111" s="81">
        <f>250000+52085</f>
        <v>302085</v>
      </c>
      <c r="V111" s="65">
        <v>53000</v>
      </c>
    </row>
    <row r="112" spans="1:22" x14ac:dyDescent="0.2">
      <c r="A112" s="2"/>
      <c r="B112" s="2"/>
      <c r="C112" s="8"/>
      <c r="D112" s="8"/>
      <c r="E112" s="8"/>
      <c r="F112" s="8"/>
      <c r="G112" s="16"/>
      <c r="I112" s="16"/>
      <c r="V112" s="68">
        <f>V111-L111</f>
        <v>0</v>
      </c>
    </row>
    <row r="113" spans="1:21" x14ac:dyDescent="0.2">
      <c r="A113" s="2">
        <v>5291</v>
      </c>
      <c r="B113" s="2" t="s">
        <v>34</v>
      </c>
      <c r="C113" s="12">
        <f>10000</f>
        <v>10000</v>
      </c>
      <c r="D113" s="12">
        <f>23440.74+3500</f>
        <v>26940.74</v>
      </c>
      <c r="E113" s="12">
        <f>559.26+16500+55925</f>
        <v>72984.259999999995</v>
      </c>
      <c r="F113" s="12">
        <f>6250</f>
        <v>6250</v>
      </c>
      <c r="G113" s="19">
        <v>99050</v>
      </c>
      <c r="I113" s="85">
        <v>21523.75</v>
      </c>
      <c r="J113" s="19">
        <v>17219</v>
      </c>
      <c r="K113" s="19">
        <v>0</v>
      </c>
      <c r="L113" s="19">
        <v>0</v>
      </c>
      <c r="M113" s="19">
        <v>4304.75</v>
      </c>
      <c r="N113" s="19">
        <v>0</v>
      </c>
      <c r="O113" s="19">
        <v>0</v>
      </c>
      <c r="P113" s="19">
        <v>0</v>
      </c>
      <c r="Q113" s="19">
        <v>0</v>
      </c>
      <c r="R113" s="44">
        <f>I113-J113-K113-L113-M113-N113-O113-P113-Q113</f>
        <v>0</v>
      </c>
    </row>
    <row r="114" spans="1:21" x14ac:dyDescent="0.2">
      <c r="A114" s="3"/>
      <c r="B114" s="3" t="s">
        <v>70</v>
      </c>
      <c r="C114" s="15">
        <f>SUM(C113)</f>
        <v>10000</v>
      </c>
      <c r="D114" s="15">
        <f>SUM(D113)</f>
        <v>26940.74</v>
      </c>
      <c r="E114" s="15">
        <f>SUM(E113)</f>
        <v>72984.259999999995</v>
      </c>
      <c r="F114" s="15">
        <f>SUM(F113)</f>
        <v>6250</v>
      </c>
      <c r="G114" s="15">
        <f t="shared" ref="G114" si="71">SUM(G113)</f>
        <v>99050</v>
      </c>
      <c r="I114" s="15">
        <f t="shared" ref="I114" si="72">SUM(I113)</f>
        <v>21523.75</v>
      </c>
      <c r="J114" s="15">
        <f t="shared" ref="J114" si="73">SUM(J113)</f>
        <v>17219</v>
      </c>
      <c r="K114" s="15">
        <f>SUM(K113)</f>
        <v>0</v>
      </c>
      <c r="L114" s="15">
        <f t="shared" ref="L114:N114" si="74">SUM(L113)</f>
        <v>0</v>
      </c>
      <c r="M114" s="15">
        <f>SUM(M113)</f>
        <v>4304.75</v>
      </c>
      <c r="N114" s="15">
        <f t="shared" si="74"/>
        <v>0</v>
      </c>
      <c r="O114" s="15">
        <f t="shared" ref="O114" si="75">SUM(O113)</f>
        <v>0</v>
      </c>
      <c r="P114" s="15">
        <f>SUM(P113)</f>
        <v>0</v>
      </c>
      <c r="Q114" s="15">
        <f t="shared" ref="Q114" si="76">SUM(Q113)</f>
        <v>0</v>
      </c>
      <c r="R114" s="15">
        <f t="shared" ref="R114" si="77">SUM(R113)</f>
        <v>0</v>
      </c>
      <c r="U114" s="65">
        <v>17219</v>
      </c>
    </row>
    <row r="115" spans="1:21" x14ac:dyDescent="0.2">
      <c r="A115" s="3"/>
      <c r="B115" s="3"/>
      <c r="C115" s="8"/>
      <c r="D115" s="8"/>
      <c r="E115" s="8"/>
      <c r="F115" s="8"/>
      <c r="G115" s="16"/>
      <c r="I115" s="16"/>
      <c r="U115" s="65">
        <f>U114-J114</f>
        <v>0</v>
      </c>
    </row>
    <row r="116" spans="1:21" x14ac:dyDescent="0.2">
      <c r="A116" s="2" t="s">
        <v>19</v>
      </c>
      <c r="B116" s="2" t="s">
        <v>71</v>
      </c>
      <c r="C116" s="12">
        <f>397.5+198.02+32.38+96+3+163.69+539.26+750+88+29.92</f>
        <v>2297.77</v>
      </c>
      <c r="D116" s="12">
        <f>99.45+46.85+15.67+506.01+901.16+36.92</f>
        <v>1606.06</v>
      </c>
      <c r="E116" s="12">
        <f>783.81+208+40.86+141.31+3398.94</f>
        <v>4572.92</v>
      </c>
      <c r="F116" s="12">
        <f>5386.65+41.88</f>
        <v>5428.53</v>
      </c>
      <c r="G116" s="19">
        <v>7401.89</v>
      </c>
      <c r="I116" s="19">
        <v>8000</v>
      </c>
      <c r="J116" s="19">
        <v>0</v>
      </c>
      <c r="K116" s="19">
        <v>0</v>
      </c>
      <c r="L116" s="19">
        <v>0</v>
      </c>
      <c r="M116" s="19">
        <v>8000</v>
      </c>
      <c r="N116" s="19">
        <v>0</v>
      </c>
      <c r="O116" s="19">
        <v>0</v>
      </c>
      <c r="P116" s="19">
        <v>0</v>
      </c>
      <c r="Q116" s="19">
        <v>0</v>
      </c>
      <c r="R116" s="44">
        <f>I116-J116-K116-L116-M116-N116-O116-P116-Q116</f>
        <v>0</v>
      </c>
    </row>
    <row r="117" spans="1:21" x14ac:dyDescent="0.2">
      <c r="A117" s="3"/>
      <c r="B117" s="3" t="s">
        <v>72</v>
      </c>
      <c r="C117" s="15">
        <f>SUM(C116)</f>
        <v>2297.77</v>
      </c>
      <c r="D117" s="15">
        <f>SUM(D116)</f>
        <v>1606.06</v>
      </c>
      <c r="E117" s="15">
        <f>SUM(E116)</f>
        <v>4572.92</v>
      </c>
      <c r="F117" s="15">
        <f>SUM(F116)</f>
        <v>5428.53</v>
      </c>
      <c r="G117" s="15">
        <f t="shared" ref="G117" si="78">SUM(G116)</f>
        <v>7401.89</v>
      </c>
      <c r="I117" s="15">
        <f t="shared" ref="I117" si="79">SUM(I116)</f>
        <v>8000</v>
      </c>
      <c r="J117" s="15">
        <f t="shared" ref="J117" si="80">SUM(J116)</f>
        <v>0</v>
      </c>
      <c r="K117" s="15">
        <f>SUM(K116)</f>
        <v>0</v>
      </c>
      <c r="L117" s="15">
        <f t="shared" ref="L117:N117" si="81">SUM(L116)</f>
        <v>0</v>
      </c>
      <c r="M117" s="15">
        <f>SUM(M116)</f>
        <v>8000</v>
      </c>
      <c r="N117" s="15">
        <f t="shared" si="81"/>
        <v>0</v>
      </c>
      <c r="O117" s="15">
        <f t="shared" ref="O117" si="82">SUM(O116)</f>
        <v>0</v>
      </c>
      <c r="P117" s="15">
        <f>SUM(P116)</f>
        <v>0</v>
      </c>
      <c r="Q117" s="15">
        <f t="shared" ref="Q117" si="83">SUM(Q116)</f>
        <v>0</v>
      </c>
      <c r="R117" s="15">
        <f t="shared" ref="R117" si="84">SUM(R116)</f>
        <v>0</v>
      </c>
    </row>
    <row r="118" spans="1:21" x14ac:dyDescent="0.2">
      <c r="A118" s="2"/>
      <c r="B118" s="2"/>
      <c r="C118" s="8"/>
      <c r="D118" s="8"/>
      <c r="E118" s="8"/>
      <c r="F118" s="8"/>
      <c r="G118" s="19"/>
      <c r="I118" s="19"/>
    </row>
    <row r="119" spans="1:21" ht="12" thickBot="1" x14ac:dyDescent="0.25">
      <c r="A119" s="4"/>
      <c r="B119" s="1" t="s">
        <v>73</v>
      </c>
      <c r="C119" s="14">
        <f>C117+C114+C111+C99+C94+C69+C38+C34</f>
        <v>1803413.8499999999</v>
      </c>
      <c r="D119" s="14">
        <f>D117+D114+D111+D99+D94+D69+D38+D34</f>
        <v>1804732.6700000002</v>
      </c>
      <c r="E119" s="14">
        <f>E117+E114+E111+E99+E94+E69+E38+E34</f>
        <v>2379061.81</v>
      </c>
      <c r="F119" s="14">
        <f>F117+F114+F111+F99+F94+F69+F38+F34</f>
        <v>2527862.36</v>
      </c>
      <c r="G119" s="14">
        <f>G117+G114+G111+G99+G94+G69+G38+G34</f>
        <v>2610401.29</v>
      </c>
      <c r="I119" s="14">
        <f t="shared" ref="I119:R119" si="85">I117+I114+I111+I99+I94+I69+I38+I34</f>
        <v>2390855.0016847299</v>
      </c>
      <c r="J119" s="14">
        <f t="shared" si="85"/>
        <v>1085795.0894959841</v>
      </c>
      <c r="K119" s="14">
        <f>K117+K114+K111+K99+K94+K69+K38+K34</f>
        <v>131945</v>
      </c>
      <c r="L119" s="14">
        <f t="shared" si="85"/>
        <v>320771.00039599603</v>
      </c>
      <c r="M119" s="14">
        <f>M117+M114+M111+M99+M94+M69+M38+M34</f>
        <v>504434.77</v>
      </c>
      <c r="N119" s="14">
        <f>N117+N114+N111+N99+N94+N69+N38+N34</f>
        <v>128100.233438351</v>
      </c>
      <c r="O119" s="14">
        <f t="shared" ref="O119" si="86">O117+O114+O111+O99+O94+O69+O38+O34</f>
        <v>89808.908142210188</v>
      </c>
      <c r="P119" s="14">
        <f>P117+P114+P111+P99+P94+P69+P38+P34</f>
        <v>130000</v>
      </c>
      <c r="Q119" s="14">
        <f t="shared" si="85"/>
        <v>0</v>
      </c>
      <c r="R119" s="14">
        <f t="shared" si="85"/>
        <v>2.1218883659912535E-4</v>
      </c>
    </row>
    <row r="120" spans="1:21" x14ac:dyDescent="0.2">
      <c r="A120" s="64"/>
      <c r="B120" s="64"/>
      <c r="C120" s="42"/>
      <c r="D120" s="42"/>
      <c r="E120" s="42"/>
      <c r="F120" s="42"/>
      <c r="G120" s="16"/>
      <c r="I120" s="16"/>
    </row>
    <row r="121" spans="1:21" ht="12" thickBot="1" x14ac:dyDescent="0.25">
      <c r="A121" s="4"/>
      <c r="B121" s="1" t="s">
        <v>74</v>
      </c>
      <c r="C121" s="14">
        <f>C28-C119</f>
        <v>-3480.8499999998603</v>
      </c>
      <c r="D121" s="14">
        <f>D28-D119</f>
        <v>3480.8499999993946</v>
      </c>
      <c r="E121" s="14">
        <f>E28-E119</f>
        <v>-96626.950000000186</v>
      </c>
      <c r="F121" s="14">
        <f>F28-F119</f>
        <v>-159570.40999999968</v>
      </c>
      <c r="G121" s="14">
        <f>G28-G119</f>
        <v>-71583.319999999832</v>
      </c>
      <c r="I121" s="14">
        <f t="shared" ref="I121:R121" si="87">I28-I119</f>
        <v>198866.67831527023</v>
      </c>
      <c r="J121" s="77">
        <f t="shared" si="87"/>
        <v>176966.91050401586</v>
      </c>
      <c r="K121" s="14">
        <f>K28-K119</f>
        <v>0</v>
      </c>
      <c r="L121" s="14">
        <f t="shared" si="87"/>
        <v>-3.9599603042006493E-4</v>
      </c>
      <c r="M121" s="14">
        <f>M28-M119</f>
        <v>0</v>
      </c>
      <c r="N121" s="92">
        <f t="shared" ref="N121" si="88">N28-N119</f>
        <v>21899.766561648998</v>
      </c>
      <c r="O121" s="14">
        <f t="shared" ref="O121" si="89">O28-O119</f>
        <v>1.8577898154035211E-3</v>
      </c>
      <c r="P121" s="14">
        <f>P28-P119</f>
        <v>0</v>
      </c>
      <c r="Q121" s="14">
        <f t="shared" si="87"/>
        <v>0</v>
      </c>
      <c r="R121" s="14">
        <f t="shared" si="87"/>
        <v>-2.1218881840923132E-4</v>
      </c>
    </row>
    <row r="122" spans="1:21" x14ac:dyDescent="0.2">
      <c r="A122" s="64"/>
      <c r="B122" s="64"/>
      <c r="C122" s="5"/>
      <c r="D122" s="5"/>
      <c r="E122" s="42"/>
      <c r="F122" s="16"/>
      <c r="G122" s="16"/>
      <c r="I122" s="16"/>
    </row>
    <row r="123" spans="1:21" x14ac:dyDescent="0.2">
      <c r="A123" s="64"/>
      <c r="B123" s="64"/>
      <c r="C123" s="99"/>
      <c r="D123" s="42"/>
      <c r="E123" s="42"/>
      <c r="F123" s="16"/>
      <c r="G123" s="16"/>
      <c r="I123" s="74" t="s">
        <v>283</v>
      </c>
    </row>
    <row r="124" spans="1:21" x14ac:dyDescent="0.2">
      <c r="A124" s="64"/>
      <c r="B124" s="64"/>
      <c r="C124" s="42"/>
      <c r="D124" s="42"/>
      <c r="E124" s="42"/>
      <c r="F124" s="20" t="s">
        <v>305</v>
      </c>
      <c r="G124" s="20">
        <f>SUM(C121:G121)</f>
        <v>-327780.68000000017</v>
      </c>
      <c r="I124" s="75">
        <f>I101+I96+I76+I75+I71+I44+I41</f>
        <v>724976.672976</v>
      </c>
      <c r="J124" s="68"/>
      <c r="K124" s="63"/>
      <c r="N124" s="44"/>
    </row>
    <row r="125" spans="1:21" x14ac:dyDescent="0.2">
      <c r="A125" s="64"/>
      <c r="B125" s="64"/>
      <c r="C125" s="42"/>
      <c r="D125" s="42"/>
      <c r="E125" s="42"/>
      <c r="F125" s="20" t="s">
        <v>306</v>
      </c>
      <c r="G125" s="20">
        <f>Rural!F113+Rural!G113</f>
        <v>-7003.6599999994505</v>
      </c>
      <c r="I125" s="75">
        <f>Staffing!F85</f>
        <v>724976.672976</v>
      </c>
      <c r="N125" s="44"/>
    </row>
    <row r="126" spans="1:21" x14ac:dyDescent="0.2">
      <c r="A126" s="64"/>
      <c r="B126" s="64"/>
      <c r="C126" s="42"/>
      <c r="D126" s="42"/>
      <c r="E126" s="42"/>
      <c r="F126" s="20" t="s">
        <v>302</v>
      </c>
      <c r="G126" s="118">
        <f>SUM(G124:G125)</f>
        <v>-334784.33999999962</v>
      </c>
      <c r="I126" s="76">
        <f>I124-I125</f>
        <v>0</v>
      </c>
    </row>
    <row r="127" spans="1:21" x14ac:dyDescent="0.2">
      <c r="A127" s="64"/>
      <c r="B127" s="64"/>
      <c r="C127" s="42"/>
      <c r="D127" s="42"/>
      <c r="E127" s="42"/>
      <c r="F127" s="20" t="s">
        <v>303</v>
      </c>
      <c r="G127" s="20">
        <v>220069.24</v>
      </c>
      <c r="I127" s="16"/>
    </row>
    <row r="128" spans="1:21" x14ac:dyDescent="0.2">
      <c r="A128" s="64"/>
      <c r="B128" s="64"/>
      <c r="C128" s="42"/>
      <c r="D128" s="42"/>
      <c r="E128" s="42"/>
      <c r="F128" s="21" t="s">
        <v>304</v>
      </c>
      <c r="G128" s="119">
        <f>SUM(G126:G127)</f>
        <v>-114715.09999999963</v>
      </c>
      <c r="I128" s="21"/>
    </row>
    <row r="129" spans="1:9" x14ac:dyDescent="0.2">
      <c r="A129" s="64"/>
      <c r="B129" s="64"/>
      <c r="C129" s="42"/>
      <c r="D129" s="42"/>
      <c r="E129" s="42"/>
      <c r="F129" s="22"/>
      <c r="G129" s="22"/>
      <c r="I129" s="22"/>
    </row>
    <row r="130" spans="1:9" x14ac:dyDescent="0.2">
      <c r="C130" s="42"/>
      <c r="D130" s="42"/>
      <c r="E130" s="42"/>
      <c r="F130" s="20" t="s">
        <v>307</v>
      </c>
      <c r="G130" s="16">
        <v>-114798.58</v>
      </c>
      <c r="I130" s="16"/>
    </row>
    <row r="131" spans="1:9" x14ac:dyDescent="0.2">
      <c r="C131" s="42"/>
      <c r="D131" s="42"/>
      <c r="E131" s="42"/>
      <c r="F131" s="20" t="s">
        <v>101</v>
      </c>
      <c r="G131" s="16">
        <f>G130-G128</f>
        <v>-83.480000000374275</v>
      </c>
      <c r="I131" s="16"/>
    </row>
    <row r="132" spans="1:9" x14ac:dyDescent="0.2">
      <c r="C132" s="42"/>
      <c r="D132" s="42"/>
      <c r="E132" s="42"/>
      <c r="F132" s="16"/>
      <c r="G132" s="16"/>
      <c r="I132" s="16"/>
    </row>
    <row r="133" spans="1:9" x14ac:dyDescent="0.2">
      <c r="C133" s="9"/>
      <c r="D133" s="9"/>
      <c r="E133" s="42"/>
      <c r="F133" s="16"/>
      <c r="G133" s="16"/>
      <c r="I133" s="16"/>
    </row>
    <row r="134" spans="1:9" x14ac:dyDescent="0.2">
      <c r="C134" s="9"/>
      <c r="D134" s="9"/>
      <c r="E134" s="42"/>
      <c r="F134" s="16"/>
      <c r="G134" s="16"/>
      <c r="I134" s="16"/>
    </row>
    <row r="135" spans="1:9" x14ac:dyDescent="0.2">
      <c r="C135" s="42"/>
      <c r="D135" s="42"/>
      <c r="E135" s="42"/>
      <c r="F135" s="16"/>
      <c r="G135" s="16"/>
      <c r="I135" s="16"/>
    </row>
    <row r="136" spans="1:9" x14ac:dyDescent="0.2">
      <c r="C136" s="42"/>
      <c r="D136" s="42"/>
      <c r="E136" s="42"/>
      <c r="F136" s="16"/>
      <c r="G136" s="16"/>
      <c r="I136" s="16"/>
    </row>
    <row r="137" spans="1:9" x14ac:dyDescent="0.2">
      <c r="C137" s="9"/>
      <c r="D137" s="9"/>
      <c r="E137" s="9"/>
      <c r="F137" s="22"/>
      <c r="G137" s="22"/>
      <c r="I137" s="22"/>
    </row>
    <row r="138" spans="1:9" x14ac:dyDescent="0.2">
      <c r="C138" s="9"/>
      <c r="D138" s="9"/>
      <c r="E138" s="9"/>
      <c r="F138" s="22"/>
      <c r="G138" s="22"/>
      <c r="I138" s="22"/>
    </row>
    <row r="139" spans="1:9" x14ac:dyDescent="0.2">
      <c r="C139" s="9"/>
      <c r="D139" s="9"/>
      <c r="E139" s="9"/>
      <c r="F139" s="22"/>
      <c r="G139" s="22"/>
      <c r="I139" s="22"/>
    </row>
    <row r="140" spans="1:9" x14ac:dyDescent="0.2">
      <c r="C140" s="9"/>
      <c r="D140" s="9"/>
      <c r="E140" s="9"/>
      <c r="F140" s="22"/>
      <c r="G140" s="22"/>
      <c r="I140" s="22"/>
    </row>
  </sheetData>
  <pageMargins left="0.7" right="0.7" top="0.75" bottom="0.75" header="0.3" footer="0.3"/>
  <pageSetup paperSize="5" scale="62" fitToHeight="0" orientation="landscape" r:id="rId1"/>
  <rowBreaks count="1" manualBreakCount="1"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8"/>
  <sheetViews>
    <sheetView zoomScaleNormal="10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O99" sqref="O99"/>
    </sheetView>
  </sheetViews>
  <sheetFormatPr defaultColWidth="8.85546875" defaultRowHeight="11.25" x14ac:dyDescent="0.2"/>
  <cols>
    <col min="1" max="1" width="8.85546875" style="63"/>
    <col min="2" max="2" width="28.85546875" style="63" customWidth="1"/>
    <col min="3" max="3" width="11.5703125" style="63" customWidth="1"/>
    <col min="4" max="4" width="11" style="63" customWidth="1"/>
    <col min="5" max="5" width="14.28515625" style="63" bestFit="1" customWidth="1"/>
    <col min="6" max="6" width="13.42578125" style="63" bestFit="1" customWidth="1"/>
    <col min="7" max="7" width="14" style="63" bestFit="1" customWidth="1"/>
    <col min="8" max="8" width="3.7109375" style="63" customWidth="1"/>
    <col min="9" max="9" width="13.7109375" style="63" bestFit="1" customWidth="1"/>
    <col min="10" max="15" width="13.42578125" style="63" bestFit="1" customWidth="1"/>
    <col min="16" max="16" width="2.7109375" style="63" customWidth="1"/>
    <col min="17" max="17" width="9.7109375" style="63" bestFit="1" customWidth="1"/>
    <col min="18" max="18" width="9.5703125" style="63" customWidth="1"/>
    <col min="19" max="16384" width="8.85546875" style="63"/>
  </cols>
  <sheetData>
    <row r="1" spans="1:19" x14ac:dyDescent="0.2">
      <c r="A1" s="27" t="s">
        <v>76</v>
      </c>
      <c r="B1" s="28"/>
      <c r="C1" s="38" t="s">
        <v>1</v>
      </c>
      <c r="D1" s="38" t="s">
        <v>2</v>
      </c>
      <c r="E1" s="38" t="s">
        <v>3</v>
      </c>
      <c r="F1" s="38" t="s">
        <v>75</v>
      </c>
      <c r="G1" s="38" t="s">
        <v>95</v>
      </c>
      <c r="I1" s="38" t="s">
        <v>96</v>
      </c>
      <c r="J1" s="38"/>
      <c r="K1" s="38"/>
      <c r="L1" s="38"/>
      <c r="M1" s="38"/>
      <c r="N1" s="38"/>
      <c r="O1" s="38"/>
    </row>
    <row r="2" spans="1:19" ht="13.5" x14ac:dyDescent="0.35">
      <c r="A2" s="24"/>
      <c r="B2" s="25"/>
      <c r="C2" s="39" t="s">
        <v>4</v>
      </c>
      <c r="D2" s="39" t="s">
        <v>4</v>
      </c>
      <c r="E2" s="39" t="s">
        <v>4</v>
      </c>
      <c r="F2" s="39" t="s">
        <v>4</v>
      </c>
      <c r="G2" s="39" t="s">
        <v>4</v>
      </c>
      <c r="I2" s="39" t="s">
        <v>97</v>
      </c>
      <c r="J2" s="39" t="s">
        <v>105</v>
      </c>
      <c r="K2" s="39" t="s">
        <v>106</v>
      </c>
      <c r="L2" s="39" t="s">
        <v>112</v>
      </c>
      <c r="M2" s="39" t="s">
        <v>100</v>
      </c>
      <c r="N2" s="39" t="s">
        <v>113</v>
      </c>
      <c r="O2" s="39" t="s">
        <v>94</v>
      </c>
      <c r="Q2" s="93" t="s">
        <v>106</v>
      </c>
      <c r="R2" s="93" t="s">
        <v>105</v>
      </c>
      <c r="S2" s="63" t="s">
        <v>290</v>
      </c>
    </row>
    <row r="3" spans="1:19" x14ac:dyDescent="0.2">
      <c r="A3" s="29" t="s">
        <v>5</v>
      </c>
      <c r="B3" s="64"/>
      <c r="C3" s="40"/>
      <c r="D3" s="40"/>
      <c r="E3" s="40"/>
      <c r="F3" s="40"/>
      <c r="G3" s="40"/>
      <c r="I3" s="40"/>
      <c r="J3" s="40"/>
      <c r="K3" s="40"/>
      <c r="L3" s="40"/>
      <c r="M3" s="40"/>
      <c r="N3" s="40"/>
      <c r="O3" s="40"/>
    </row>
    <row r="4" spans="1:19" x14ac:dyDescent="0.2">
      <c r="A4" s="64"/>
      <c r="B4" s="26" t="s">
        <v>130</v>
      </c>
      <c r="C4" s="37">
        <v>657442.15</v>
      </c>
      <c r="D4" s="37">
        <f>1028764.3-32507.45</f>
        <v>996256.85000000009</v>
      </c>
      <c r="E4" s="37">
        <f>434393.46</f>
        <v>434393.46</v>
      </c>
      <c r="F4" s="37">
        <f>603300.66+22746.42</f>
        <v>626047.08000000007</v>
      </c>
      <c r="G4" s="37">
        <v>416140.33</v>
      </c>
      <c r="I4" s="37">
        <v>554899</v>
      </c>
      <c r="J4" s="37">
        <v>554899</v>
      </c>
      <c r="K4" s="37">
        <v>0</v>
      </c>
      <c r="L4" s="37">
        <v>0</v>
      </c>
      <c r="M4" s="37">
        <v>0</v>
      </c>
      <c r="N4" s="37">
        <v>0</v>
      </c>
      <c r="O4" s="37">
        <f>I4-J4-K4-N4-L4-M4</f>
        <v>0</v>
      </c>
    </row>
    <row r="5" spans="1:19" x14ac:dyDescent="0.2">
      <c r="A5" s="64"/>
      <c r="B5" s="26" t="s">
        <v>131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I5" s="37">
        <v>64600</v>
      </c>
      <c r="J5" s="37">
        <v>64600</v>
      </c>
      <c r="K5" s="37">
        <v>0</v>
      </c>
      <c r="L5" s="37">
        <v>0</v>
      </c>
      <c r="M5" s="37">
        <v>0</v>
      </c>
      <c r="N5" s="37">
        <v>0</v>
      </c>
      <c r="O5" s="37">
        <f t="shared" ref="O5:O16" si="0">I5-J5-K5-N5-L5-M5</f>
        <v>0</v>
      </c>
    </row>
    <row r="6" spans="1:19" x14ac:dyDescent="0.2">
      <c r="A6" s="64"/>
      <c r="B6" s="26" t="s">
        <v>9</v>
      </c>
      <c r="C6" s="41">
        <f>433999+1061.98+3522.96</f>
        <v>438583.94</v>
      </c>
      <c r="D6" s="41">
        <f>428444</f>
        <v>428444</v>
      </c>
      <c r="E6" s="41">
        <f>145.06+416692.98</f>
        <v>416838.04</v>
      </c>
      <c r="F6" s="41">
        <f>406960+5761.69</f>
        <v>412721.69</v>
      </c>
      <c r="G6" s="41">
        <v>436725</v>
      </c>
      <c r="I6" s="41">
        <v>429768</v>
      </c>
      <c r="J6" s="41">
        <v>0</v>
      </c>
      <c r="K6" s="41">
        <v>429768</v>
      </c>
      <c r="L6" s="41">
        <v>0</v>
      </c>
      <c r="M6" s="41">
        <v>0</v>
      </c>
      <c r="N6" s="41">
        <v>0</v>
      </c>
      <c r="O6" s="37">
        <f t="shared" si="0"/>
        <v>0</v>
      </c>
    </row>
    <row r="7" spans="1:19" x14ac:dyDescent="0.2">
      <c r="A7" s="64"/>
      <c r="B7" s="26" t="s">
        <v>10</v>
      </c>
      <c r="C7" s="41">
        <v>38533.1</v>
      </c>
      <c r="D7" s="41">
        <f>38727.52-3301.52</f>
        <v>35426</v>
      </c>
      <c r="E7" s="41">
        <f>26942.91+4754.34</f>
        <v>31697.25</v>
      </c>
      <c r="F7" s="41">
        <f>34393.91+4242.06</f>
        <v>38635.97</v>
      </c>
      <c r="G7" s="41">
        <v>35589.129999999997</v>
      </c>
      <c r="I7" s="41">
        <v>36000</v>
      </c>
      <c r="J7" s="41">
        <v>0</v>
      </c>
      <c r="K7" s="41">
        <v>0</v>
      </c>
      <c r="L7" s="41">
        <v>36000</v>
      </c>
      <c r="M7" s="41">
        <v>0</v>
      </c>
      <c r="N7" s="41">
        <v>0</v>
      </c>
      <c r="O7" s="37">
        <f t="shared" si="0"/>
        <v>0</v>
      </c>
    </row>
    <row r="8" spans="1:19" x14ac:dyDescent="0.2">
      <c r="A8" s="64"/>
      <c r="B8" s="26" t="s">
        <v>13</v>
      </c>
      <c r="C8" s="41">
        <f>9539.22+9754.66+63514.99+275977.93</f>
        <v>358786.8</v>
      </c>
      <c r="D8" s="41">
        <f>153083.86+53702.86</f>
        <v>206786.71999999997</v>
      </c>
      <c r="E8" s="41">
        <f>455534.57+33673.49</f>
        <v>489208.06</v>
      </c>
      <c r="F8" s="41">
        <f>271852.33+13646.73</f>
        <v>285499.06</v>
      </c>
      <c r="G8" s="41">
        <v>154550.93</v>
      </c>
      <c r="I8" s="41">
        <f>256000-134051.04-4257-1366.54+1930-9.76-140+20519.33</f>
        <v>138624.99</v>
      </c>
      <c r="J8" s="41">
        <v>0</v>
      </c>
      <c r="K8" s="41">
        <v>0</v>
      </c>
      <c r="L8" s="41">
        <v>0</v>
      </c>
      <c r="M8" s="41">
        <f>I8</f>
        <v>138624.99</v>
      </c>
      <c r="N8" s="41">
        <v>0</v>
      </c>
      <c r="O8" s="37">
        <f t="shared" si="0"/>
        <v>0</v>
      </c>
    </row>
    <row r="9" spans="1:19" x14ac:dyDescent="0.2">
      <c r="A9" s="64"/>
      <c r="B9" s="26" t="s">
        <v>14</v>
      </c>
      <c r="C9" s="41">
        <v>12603</v>
      </c>
      <c r="D9" s="41">
        <f>10813.2</f>
        <v>10813.2</v>
      </c>
      <c r="E9" s="41">
        <f>10519.08</f>
        <v>10519.08</v>
      </c>
      <c r="F9" s="41">
        <v>11459.8</v>
      </c>
      <c r="G9" s="41">
        <v>5540.47</v>
      </c>
      <c r="I9" s="80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37">
        <f t="shared" si="0"/>
        <v>0</v>
      </c>
    </row>
    <row r="10" spans="1:19" x14ac:dyDescent="0.2">
      <c r="A10" s="64"/>
      <c r="B10" s="26" t="s">
        <v>15</v>
      </c>
      <c r="C10" s="41">
        <f>32356</f>
        <v>32356</v>
      </c>
      <c r="D10" s="41">
        <f>29526</f>
        <v>29526</v>
      </c>
      <c r="E10" s="41">
        <f>19201</f>
        <v>19201</v>
      </c>
      <c r="F10" s="41">
        <f>16828+2688</f>
        <v>19516</v>
      </c>
      <c r="G10" s="41">
        <v>18858</v>
      </c>
      <c r="I10" s="41">
        <v>25000</v>
      </c>
      <c r="J10" s="41">
        <v>0</v>
      </c>
      <c r="K10" s="41">
        <v>0</v>
      </c>
      <c r="L10" s="41">
        <v>0</v>
      </c>
      <c r="M10" s="41">
        <v>25000</v>
      </c>
      <c r="N10" s="41">
        <v>0</v>
      </c>
      <c r="O10" s="37">
        <f t="shared" si="0"/>
        <v>0</v>
      </c>
    </row>
    <row r="11" spans="1:19" x14ac:dyDescent="0.2">
      <c r="A11" s="64"/>
      <c r="B11" s="26" t="s">
        <v>77</v>
      </c>
      <c r="C11" s="41">
        <f>191643.56-1571.91</f>
        <v>190071.65</v>
      </c>
      <c r="D11" s="41">
        <f>240751.75-167840.64+171142.16</f>
        <v>244053.27</v>
      </c>
      <c r="E11" s="41">
        <f>281707.99+21471.35</f>
        <v>303179.33999999997</v>
      </c>
      <c r="F11" s="41">
        <f>242337.55</f>
        <v>242337.55</v>
      </c>
      <c r="G11" s="41">
        <f>223264.37-1057.82-1057.82-17839.81</f>
        <v>203308.91999999998</v>
      </c>
      <c r="I11" s="41">
        <v>264234</v>
      </c>
      <c r="J11" s="41">
        <v>0</v>
      </c>
      <c r="K11" s="41">
        <v>0</v>
      </c>
      <c r="L11" s="41">
        <v>0</v>
      </c>
      <c r="M11" s="41">
        <v>0</v>
      </c>
      <c r="N11" s="41">
        <v>264234</v>
      </c>
      <c r="O11" s="37">
        <f t="shared" si="0"/>
        <v>0</v>
      </c>
    </row>
    <row r="12" spans="1:19" x14ac:dyDescent="0.2">
      <c r="A12" s="64"/>
      <c r="B12" s="26" t="s">
        <v>132</v>
      </c>
      <c r="C12" s="41">
        <v>26638.81</v>
      </c>
      <c r="D12" s="41">
        <f>56192.06</f>
        <v>56192.06</v>
      </c>
      <c r="E12" s="41">
        <f>45704.46-1727.09+931.94+13142</f>
        <v>58051.310000000005</v>
      </c>
      <c r="F12" s="41">
        <f>33250+22527.72+2494.32</f>
        <v>58272.04</v>
      </c>
      <c r="G12" s="41">
        <f>8334.51+7404.74+16882.46-4823.56+1057.82+1057.82+1057.82+33250</f>
        <v>64221.61</v>
      </c>
      <c r="I12" s="41">
        <v>50000</v>
      </c>
      <c r="J12" s="41">
        <v>0</v>
      </c>
      <c r="K12" s="41">
        <v>0</v>
      </c>
      <c r="L12" s="41">
        <v>0</v>
      </c>
      <c r="M12" s="41">
        <v>50000</v>
      </c>
      <c r="N12" s="41">
        <v>0</v>
      </c>
      <c r="O12" s="37">
        <f t="shared" ref="O12" si="1">I12-J12-K12-N12-L12-M12</f>
        <v>0</v>
      </c>
    </row>
    <row r="13" spans="1:19" x14ac:dyDescent="0.2">
      <c r="A13" s="64"/>
      <c r="B13" s="26" t="s">
        <v>16</v>
      </c>
      <c r="C13" s="41">
        <f>-0.04+36.25</f>
        <v>36.21</v>
      </c>
      <c r="D13" s="41">
        <v>0</v>
      </c>
      <c r="E13" s="41">
        <f>1670.43+56.66</f>
        <v>1727.0900000000001</v>
      </c>
      <c r="F13" s="41">
        <v>0</v>
      </c>
      <c r="G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37">
        <f t="shared" si="0"/>
        <v>0</v>
      </c>
    </row>
    <row r="14" spans="1:19" x14ac:dyDescent="0.2">
      <c r="A14" s="64"/>
      <c r="B14" s="26" t="s">
        <v>17</v>
      </c>
      <c r="C14" s="41">
        <v>0</v>
      </c>
      <c r="D14" s="41">
        <v>0</v>
      </c>
      <c r="E14" s="41">
        <f>3050</f>
        <v>3050</v>
      </c>
      <c r="F14" s="41">
        <f>500+500</f>
        <v>1000</v>
      </c>
      <c r="G14" s="41">
        <v>0</v>
      </c>
      <c r="I14" s="80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37">
        <f t="shared" si="0"/>
        <v>0</v>
      </c>
    </row>
    <row r="15" spans="1:19" x14ac:dyDescent="0.2">
      <c r="A15" s="64"/>
      <c r="B15" s="26" t="s">
        <v>133</v>
      </c>
      <c r="C15" s="41">
        <v>0</v>
      </c>
      <c r="D15" s="41">
        <f>51340</f>
        <v>51340</v>
      </c>
      <c r="E15" s="41">
        <v>0</v>
      </c>
      <c r="F15" s="41">
        <v>0</v>
      </c>
      <c r="G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37">
        <f t="shared" ref="O15" si="2">I15-J15-K15-N15-L15-M15</f>
        <v>0</v>
      </c>
    </row>
    <row r="16" spans="1:19" x14ac:dyDescent="0.2">
      <c r="A16" s="64"/>
      <c r="B16" s="26" t="s">
        <v>18</v>
      </c>
      <c r="C16" s="41">
        <v>30358.14</v>
      </c>
      <c r="D16" s="41">
        <f>33999.2</f>
        <v>33999.199999999997</v>
      </c>
      <c r="E16" s="41">
        <f>34504.6+635.12</f>
        <v>35139.72</v>
      </c>
      <c r="F16" s="41">
        <f>33922.28</f>
        <v>33922.28</v>
      </c>
      <c r="G16" s="41">
        <v>30919.3</v>
      </c>
      <c r="I16" s="41">
        <v>33000</v>
      </c>
      <c r="J16" s="41">
        <v>0</v>
      </c>
      <c r="K16" s="41">
        <v>0</v>
      </c>
      <c r="L16" s="41">
        <v>0</v>
      </c>
      <c r="M16" s="41">
        <v>0</v>
      </c>
      <c r="N16" s="41">
        <v>33000</v>
      </c>
      <c r="O16" s="37">
        <f t="shared" si="0"/>
        <v>0</v>
      </c>
    </row>
    <row r="17" spans="1:20" ht="12" thickBot="1" x14ac:dyDescent="0.25">
      <c r="A17" s="30"/>
      <c r="B17" s="31" t="s">
        <v>20</v>
      </c>
      <c r="C17" s="32">
        <f t="shared" ref="C17:F17" si="3">SUM(C4:C16)</f>
        <v>1785409.8</v>
      </c>
      <c r="D17" s="32">
        <f t="shared" si="3"/>
        <v>2092837.3</v>
      </c>
      <c r="E17" s="32">
        <f t="shared" si="3"/>
        <v>1803004.35</v>
      </c>
      <c r="F17" s="32">
        <f t="shared" si="3"/>
        <v>1729411.4700000002</v>
      </c>
      <c r="G17" s="32">
        <f>SUM(G4:G16)</f>
        <v>1365853.6900000002</v>
      </c>
      <c r="I17" s="32">
        <f>SUM(I4:I16)</f>
        <v>1596125.99</v>
      </c>
      <c r="J17" s="32">
        <f>SUM(J4:J16)</f>
        <v>619499</v>
      </c>
      <c r="K17" s="32">
        <f>SUM(K4:K16)</f>
        <v>429768</v>
      </c>
      <c r="L17" s="32">
        <f t="shared" ref="L17:M17" si="4">SUM(L4:L16)</f>
        <v>36000</v>
      </c>
      <c r="M17" s="32">
        <f t="shared" si="4"/>
        <v>213624.99</v>
      </c>
      <c r="N17" s="32">
        <f>SUM(N4:N16)</f>
        <v>297234</v>
      </c>
      <c r="O17" s="32">
        <f>SUM(O4:O16)</f>
        <v>0</v>
      </c>
    </row>
    <row r="18" spans="1:20" s="65" customFormat="1" x14ac:dyDescent="0.2">
      <c r="A18" s="45"/>
      <c r="B18" s="96" t="s">
        <v>294</v>
      </c>
      <c r="C18" s="94">
        <f>756503.25-391015.51</f>
        <v>365487.74</v>
      </c>
      <c r="D18" s="94">
        <f>352038.41-1253.36</f>
        <v>350785.05</v>
      </c>
      <c r="E18" s="94">
        <f>626958.42-39850.61</f>
        <v>587107.81000000006</v>
      </c>
      <c r="F18" s="94">
        <f>465859.31-71260</f>
        <v>394599.31</v>
      </c>
      <c r="G18" s="94">
        <f>G8+Urban!G13</f>
        <v>302107.68</v>
      </c>
      <c r="H18" s="95"/>
      <c r="I18" s="94">
        <f>I8+Urban!I13</f>
        <v>302318.66000000003</v>
      </c>
      <c r="J18" s="18"/>
      <c r="K18" s="18"/>
      <c r="L18" s="18"/>
      <c r="M18" s="18"/>
      <c r="N18" s="18"/>
      <c r="O18" s="18"/>
    </row>
    <row r="19" spans="1:20" x14ac:dyDescent="0.2">
      <c r="A19" s="29" t="s">
        <v>21</v>
      </c>
      <c r="B19" s="64"/>
      <c r="C19" s="68"/>
      <c r="D19" s="68"/>
      <c r="E19" s="68"/>
      <c r="F19" s="68"/>
      <c r="G19" s="68"/>
      <c r="I19" s="122" t="s">
        <v>19</v>
      </c>
      <c r="J19" s="40"/>
      <c r="K19" s="40"/>
      <c r="L19" s="40"/>
      <c r="M19" s="40"/>
      <c r="N19" s="40"/>
      <c r="O19" s="40"/>
    </row>
    <row r="20" spans="1:20" x14ac:dyDescent="0.2">
      <c r="A20" s="23">
        <v>5623</v>
      </c>
      <c r="B20" s="23" t="s">
        <v>134</v>
      </c>
      <c r="C20" s="37">
        <v>0</v>
      </c>
      <c r="D20" s="37">
        <f>302000</f>
        <v>302000</v>
      </c>
      <c r="E20" s="37">
        <v>0</v>
      </c>
      <c r="F20" s="37">
        <v>0</v>
      </c>
      <c r="G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f t="shared" ref="O20:O21" si="5">I20-J20-K20-N20-L20-M20</f>
        <v>0</v>
      </c>
    </row>
    <row r="21" spans="1:20" x14ac:dyDescent="0.2">
      <c r="A21" s="23">
        <v>5712</v>
      </c>
      <c r="B21" s="23" t="s">
        <v>78</v>
      </c>
      <c r="C21" s="37">
        <v>0</v>
      </c>
      <c r="D21" s="37">
        <v>0</v>
      </c>
      <c r="E21" s="37">
        <v>0</v>
      </c>
      <c r="F21" s="37">
        <f>51960</f>
        <v>51960</v>
      </c>
      <c r="G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f t="shared" si="5"/>
        <v>0</v>
      </c>
    </row>
    <row r="22" spans="1:20" x14ac:dyDescent="0.2">
      <c r="A22" s="23">
        <v>6999</v>
      </c>
      <c r="B22" s="23" t="s">
        <v>133</v>
      </c>
      <c r="C22" s="37">
        <v>0</v>
      </c>
      <c r="D22" s="37">
        <v>51340</v>
      </c>
      <c r="E22" s="37">
        <v>0</v>
      </c>
      <c r="F22" s="37">
        <v>0</v>
      </c>
      <c r="G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f t="shared" ref="O22" si="6">I22-J22-K22-N22-L22-M22</f>
        <v>0</v>
      </c>
    </row>
    <row r="23" spans="1:20" x14ac:dyDescent="0.2">
      <c r="A23" s="33" t="s">
        <v>19</v>
      </c>
      <c r="B23" s="33" t="s">
        <v>79</v>
      </c>
      <c r="C23" s="34">
        <f>SUM(C20:C22)</f>
        <v>0</v>
      </c>
      <c r="D23" s="34">
        <f t="shared" ref="D23:G23" si="7">SUM(D20:D22)</f>
        <v>353340</v>
      </c>
      <c r="E23" s="34">
        <f t="shared" si="7"/>
        <v>0</v>
      </c>
      <c r="F23" s="34">
        <f t="shared" si="7"/>
        <v>51960</v>
      </c>
      <c r="G23" s="34">
        <f t="shared" si="7"/>
        <v>0</v>
      </c>
      <c r="I23" s="34">
        <f t="shared" ref="I23:O23" si="8">SUM(I20:I22)</f>
        <v>0</v>
      </c>
      <c r="J23" s="34">
        <f t="shared" si="8"/>
        <v>0</v>
      </c>
      <c r="K23" s="34">
        <f t="shared" si="8"/>
        <v>0</v>
      </c>
      <c r="L23" s="34">
        <f t="shared" si="8"/>
        <v>0</v>
      </c>
      <c r="M23" s="34">
        <f t="shared" si="8"/>
        <v>0</v>
      </c>
      <c r="N23" s="34">
        <f t="shared" si="8"/>
        <v>0</v>
      </c>
      <c r="O23" s="34">
        <f t="shared" si="8"/>
        <v>0</v>
      </c>
    </row>
    <row r="24" spans="1:20" x14ac:dyDescent="0.2">
      <c r="A24" s="29"/>
      <c r="B24" s="64"/>
      <c r="C24" s="40"/>
      <c r="D24" s="40"/>
      <c r="E24" s="40"/>
      <c r="F24" s="40"/>
      <c r="G24" s="40"/>
      <c r="I24" s="40"/>
      <c r="J24" s="40"/>
      <c r="K24" s="40"/>
      <c r="L24" s="40"/>
      <c r="M24" s="40"/>
      <c r="N24" s="40"/>
      <c r="O24" s="40"/>
    </row>
    <row r="25" spans="1:20" x14ac:dyDescent="0.2">
      <c r="A25" s="29"/>
      <c r="B25" s="64"/>
      <c r="C25" s="40"/>
      <c r="D25" s="40"/>
      <c r="E25" s="40"/>
      <c r="F25" s="40"/>
      <c r="G25" s="40"/>
      <c r="I25" s="40"/>
      <c r="J25" s="40"/>
      <c r="K25" s="40"/>
      <c r="L25" s="40"/>
      <c r="M25" s="40"/>
      <c r="N25" s="40"/>
      <c r="O25" s="40"/>
    </row>
    <row r="26" spans="1:20" x14ac:dyDescent="0.2">
      <c r="A26" s="23">
        <v>5411</v>
      </c>
      <c r="B26" s="23" t="s">
        <v>26</v>
      </c>
      <c r="C26" s="37">
        <f>21132.92</f>
        <v>21132.92</v>
      </c>
      <c r="D26" s="37">
        <f>21699.86</f>
        <v>21699.86</v>
      </c>
      <c r="E26" s="37">
        <f>24535.79</f>
        <v>24535.79</v>
      </c>
      <c r="F26" s="37">
        <f>21374.24</f>
        <v>21374.240000000002</v>
      </c>
      <c r="G26" s="37">
        <v>22761.13</v>
      </c>
      <c r="I26" s="37">
        <v>17360</v>
      </c>
      <c r="J26" s="37">
        <f>I26*0.8</f>
        <v>13888</v>
      </c>
      <c r="K26" s="37">
        <v>3472</v>
      </c>
      <c r="L26" s="37">
        <v>0</v>
      </c>
      <c r="M26" s="37">
        <v>0</v>
      </c>
      <c r="N26" s="37">
        <v>0</v>
      </c>
      <c r="O26" s="37">
        <f t="shared" ref="O26:O27" si="9">I26-J26-K26-N26-L26-M26</f>
        <v>0</v>
      </c>
      <c r="Q26" s="65">
        <v>3472</v>
      </c>
      <c r="R26" s="65">
        <v>13888</v>
      </c>
    </row>
    <row r="27" spans="1:20" x14ac:dyDescent="0.2">
      <c r="A27" s="23"/>
      <c r="B27" s="23"/>
      <c r="C27" s="37">
        <v>0</v>
      </c>
      <c r="D27" s="37">
        <v>0</v>
      </c>
      <c r="E27" s="37">
        <v>0</v>
      </c>
      <c r="F27" s="37">
        <v>0</v>
      </c>
      <c r="G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f t="shared" si="9"/>
        <v>0</v>
      </c>
    </row>
    <row r="28" spans="1:20" x14ac:dyDescent="0.2">
      <c r="A28" s="33" t="s">
        <v>19</v>
      </c>
      <c r="B28" s="33" t="s">
        <v>80</v>
      </c>
      <c r="C28" s="34">
        <f t="shared" ref="C28:F28" si="10">SUM(C26:C27)</f>
        <v>21132.92</v>
      </c>
      <c r="D28" s="34">
        <f t="shared" si="10"/>
        <v>21699.86</v>
      </c>
      <c r="E28" s="34">
        <f t="shared" si="10"/>
        <v>24535.79</v>
      </c>
      <c r="F28" s="34">
        <f t="shared" si="10"/>
        <v>21374.240000000002</v>
      </c>
      <c r="G28" s="34">
        <f t="shared" ref="G28:O28" si="11">SUM(G26:G27)</f>
        <v>22761.13</v>
      </c>
      <c r="I28" s="34">
        <f t="shared" si="11"/>
        <v>17360</v>
      </c>
      <c r="J28" s="34">
        <f t="shared" si="11"/>
        <v>13888</v>
      </c>
      <c r="K28" s="34">
        <f t="shared" si="11"/>
        <v>3472</v>
      </c>
      <c r="L28" s="34">
        <f t="shared" ref="L28:M28" si="12">SUM(L26:L27)</f>
        <v>0</v>
      </c>
      <c r="M28" s="34">
        <f t="shared" si="12"/>
        <v>0</v>
      </c>
      <c r="N28" s="34">
        <f t="shared" si="11"/>
        <v>0</v>
      </c>
      <c r="O28" s="34">
        <f t="shared" si="11"/>
        <v>0</v>
      </c>
    </row>
    <row r="29" spans="1:20" x14ac:dyDescent="0.2">
      <c r="A29" s="64"/>
      <c r="B29" s="64"/>
      <c r="C29" s="40"/>
      <c r="D29" s="40"/>
      <c r="E29" s="40"/>
      <c r="F29" s="40"/>
      <c r="G29" s="40"/>
      <c r="I29" s="40"/>
      <c r="J29" s="40"/>
      <c r="K29" s="40"/>
      <c r="L29" s="40"/>
      <c r="M29" s="40"/>
      <c r="N29" s="40"/>
      <c r="O29" s="40"/>
    </row>
    <row r="30" spans="1:20" x14ac:dyDescent="0.2">
      <c r="A30" s="64"/>
      <c r="B30" s="64"/>
      <c r="C30" s="40"/>
      <c r="D30" s="40"/>
      <c r="E30" s="40"/>
      <c r="F30" s="40"/>
      <c r="G30" s="40"/>
      <c r="I30" s="40"/>
      <c r="J30" s="40"/>
      <c r="K30" s="40"/>
      <c r="L30" s="40"/>
      <c r="M30" s="40"/>
      <c r="N30" s="40"/>
      <c r="O30" s="40"/>
    </row>
    <row r="31" spans="1:20" x14ac:dyDescent="0.2">
      <c r="A31" s="23">
        <v>5110</v>
      </c>
      <c r="B31" s="23" t="s">
        <v>29</v>
      </c>
      <c r="C31" s="37">
        <f>55713.08</f>
        <v>55713.08</v>
      </c>
      <c r="D31" s="37">
        <f>58537.95</f>
        <v>58537.95</v>
      </c>
      <c r="E31" s="37">
        <f>65768.06</f>
        <v>65768.06</v>
      </c>
      <c r="F31" s="37">
        <f>56178.5+502.42+3685.49</f>
        <v>60366.409999999996</v>
      </c>
      <c r="G31" s="37">
        <v>39056.65</v>
      </c>
      <c r="I31" s="37">
        <f>Staffing!G11</f>
        <v>72015.000016000005</v>
      </c>
      <c r="J31" s="37">
        <f>I31*0.5</f>
        <v>36007.500008000003</v>
      </c>
      <c r="K31" s="37">
        <f>I31-J31</f>
        <v>36007.500008000003</v>
      </c>
      <c r="L31" s="37">
        <v>0</v>
      </c>
      <c r="M31" s="37">
        <v>0</v>
      </c>
      <c r="N31" s="37">
        <v>0</v>
      </c>
      <c r="O31" s="37">
        <f t="shared" ref="O31:O52" si="13">I31-J31-K31-N31-L31-M31</f>
        <v>0</v>
      </c>
      <c r="T31" s="68"/>
    </row>
    <row r="32" spans="1:20" x14ac:dyDescent="0.2">
      <c r="A32" s="23">
        <v>5150</v>
      </c>
      <c r="B32" s="23" t="s">
        <v>30</v>
      </c>
      <c r="C32" s="37">
        <f>19544.38+741.1+138.14+120.7+6745.88</f>
        <v>27290.2</v>
      </c>
      <c r="D32" s="37">
        <f>26713.25+60.5+11.28+550.48</f>
        <v>27335.51</v>
      </c>
      <c r="E32" s="37">
        <f>31865.17</f>
        <v>31865.17</v>
      </c>
      <c r="F32" s="37">
        <f>43616.55+1910.82</f>
        <v>45527.37</v>
      </c>
      <c r="G32" s="37">
        <v>36181.96</v>
      </c>
      <c r="I32" s="37">
        <f>(I31+I34+I35)*0.4869</f>
        <v>41144.121187790399</v>
      </c>
      <c r="J32" s="37">
        <f>53307-36007.5</f>
        <v>17299.5</v>
      </c>
      <c r="K32" s="37">
        <f>I32-J32</f>
        <v>23844.621187790399</v>
      </c>
      <c r="L32" s="37">
        <v>0</v>
      </c>
      <c r="M32" s="37">
        <v>0</v>
      </c>
      <c r="N32" s="37">
        <v>0</v>
      </c>
      <c r="O32" s="37">
        <f t="shared" si="13"/>
        <v>0</v>
      </c>
      <c r="T32" s="68"/>
    </row>
    <row r="33" spans="1:20" x14ac:dyDescent="0.2">
      <c r="A33" s="23">
        <v>5199</v>
      </c>
      <c r="B33" s="23" t="s">
        <v>31</v>
      </c>
      <c r="C33" s="37">
        <f>10079.07</f>
        <v>10079.07</v>
      </c>
      <c r="D33" s="37">
        <f>10463.6</f>
        <v>10463.6</v>
      </c>
      <c r="E33" s="37">
        <f>12031.81</f>
        <v>12031.81</v>
      </c>
      <c r="F33" s="37">
        <f>16804.34+711.72</f>
        <v>17516.060000000001</v>
      </c>
      <c r="G33" s="37">
        <v>13512.46</v>
      </c>
      <c r="I33" s="37">
        <f>(I31+I32+I34+I35)*0.1482</f>
        <v>18620.784802401737</v>
      </c>
      <c r="J33" s="123">
        <v>0</v>
      </c>
      <c r="K33" s="37">
        <v>0</v>
      </c>
      <c r="L33" s="37">
        <v>0</v>
      </c>
      <c r="M33" s="37">
        <v>18620.78</v>
      </c>
      <c r="N33" s="37">
        <v>0</v>
      </c>
      <c r="O33" s="37">
        <f t="shared" si="13"/>
        <v>4.8024017378338613E-3</v>
      </c>
      <c r="T33" s="68"/>
    </row>
    <row r="34" spans="1:20" x14ac:dyDescent="0.2">
      <c r="A34" s="23">
        <v>5213</v>
      </c>
      <c r="B34" s="23" t="s">
        <v>32</v>
      </c>
      <c r="C34" s="41">
        <v>0</v>
      </c>
      <c r="D34" s="41">
        <v>0</v>
      </c>
      <c r="E34" s="41">
        <v>0</v>
      </c>
      <c r="F34" s="41">
        <f>32592.9</f>
        <v>32592.9</v>
      </c>
      <c r="G34" s="41">
        <v>36945.9</v>
      </c>
      <c r="I34" s="41">
        <f>Staffing!G19</f>
        <v>12487.2</v>
      </c>
      <c r="J34" s="37">
        <v>0</v>
      </c>
      <c r="K34" s="41">
        <f>60993-59852.12</f>
        <v>1140.8799999999974</v>
      </c>
      <c r="L34" s="41">
        <v>0</v>
      </c>
      <c r="M34" s="41">
        <v>11346.32</v>
      </c>
      <c r="N34" s="41">
        <v>0</v>
      </c>
      <c r="O34" s="37">
        <f t="shared" si="13"/>
        <v>0</v>
      </c>
      <c r="T34" s="68"/>
    </row>
    <row r="35" spans="1:20" x14ac:dyDescent="0.2">
      <c r="A35" s="23">
        <v>5220</v>
      </c>
      <c r="B35" s="23" t="s">
        <v>293</v>
      </c>
      <c r="C35" s="41">
        <v>0</v>
      </c>
      <c r="D35" s="41">
        <v>0</v>
      </c>
      <c r="E35" s="41">
        <v>0</v>
      </c>
      <c r="F35" s="41">
        <v>0</v>
      </c>
      <c r="G35" s="41">
        <v>1858.08</v>
      </c>
      <c r="I35" s="41">
        <v>0</v>
      </c>
      <c r="J35" s="37">
        <v>0</v>
      </c>
      <c r="K35" s="41">
        <v>0</v>
      </c>
      <c r="L35" s="41">
        <v>0</v>
      </c>
      <c r="M35" s="41">
        <v>0</v>
      </c>
      <c r="N35" s="41">
        <v>0</v>
      </c>
      <c r="O35" s="37">
        <f t="shared" ref="O35" si="14">I35-J35-K35-N35-L35-M35</f>
        <v>0</v>
      </c>
      <c r="T35" s="68"/>
    </row>
    <row r="36" spans="1:20" x14ac:dyDescent="0.2">
      <c r="A36" s="23">
        <v>5230</v>
      </c>
      <c r="B36" s="23" t="s">
        <v>275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I36" s="41">
        <v>1422.97</v>
      </c>
      <c r="J36" s="37">
        <v>0</v>
      </c>
      <c r="K36" s="41">
        <v>0</v>
      </c>
      <c r="L36" s="41">
        <v>0</v>
      </c>
      <c r="M36" s="41">
        <v>1422.97</v>
      </c>
      <c r="N36" s="41">
        <v>0</v>
      </c>
      <c r="O36" s="37">
        <f t="shared" si="13"/>
        <v>0</v>
      </c>
      <c r="Q36" s="65"/>
      <c r="T36" s="68"/>
    </row>
    <row r="37" spans="1:20" x14ac:dyDescent="0.2">
      <c r="A37" s="23">
        <v>5231</v>
      </c>
      <c r="B37" s="23" t="s">
        <v>33</v>
      </c>
      <c r="C37" s="37">
        <v>0</v>
      </c>
      <c r="D37" s="37">
        <f>4000</f>
        <v>4000</v>
      </c>
      <c r="E37" s="37">
        <f>4300</f>
        <v>4300</v>
      </c>
      <c r="F37" s="37">
        <f>7326.66+1150</f>
        <v>8476.66</v>
      </c>
      <c r="G37" s="37">
        <v>7750</v>
      </c>
      <c r="I37" s="37">
        <v>8750</v>
      </c>
      <c r="J37" s="37">
        <v>0</v>
      </c>
      <c r="K37" s="37">
        <v>0</v>
      </c>
      <c r="L37" s="37">
        <v>0</v>
      </c>
      <c r="M37" s="37">
        <v>8750</v>
      </c>
      <c r="N37" s="37">
        <v>0</v>
      </c>
      <c r="O37" s="37">
        <f t="shared" si="13"/>
        <v>0</v>
      </c>
      <c r="Q37" s="65"/>
      <c r="T37" s="68"/>
    </row>
    <row r="38" spans="1:20" x14ac:dyDescent="0.2">
      <c r="A38" s="23">
        <v>5291</v>
      </c>
      <c r="B38" s="23" t="s">
        <v>34</v>
      </c>
      <c r="C38" s="37">
        <f>8331.45</f>
        <v>8331.4500000000007</v>
      </c>
      <c r="D38" s="37">
        <f>5847.88</f>
        <v>5847.88</v>
      </c>
      <c r="E38" s="37">
        <f>7333.09</f>
        <v>7333.09</v>
      </c>
      <c r="F38" s="37">
        <f>1266</f>
        <v>1266</v>
      </c>
      <c r="G38" s="37">
        <v>0</v>
      </c>
      <c r="I38" s="37">
        <v>0</v>
      </c>
      <c r="J38" s="37">
        <f t="shared" ref="J38:J47" si="15">I38*0.5</f>
        <v>0</v>
      </c>
      <c r="K38" s="37">
        <v>0</v>
      </c>
      <c r="L38" s="37">
        <v>0</v>
      </c>
      <c r="M38" s="37">
        <v>0</v>
      </c>
      <c r="N38" s="37">
        <v>0</v>
      </c>
      <c r="O38" s="37">
        <f t="shared" si="13"/>
        <v>0</v>
      </c>
      <c r="Q38" s="65"/>
      <c r="T38" s="68"/>
    </row>
    <row r="39" spans="1:20" x14ac:dyDescent="0.2">
      <c r="A39" s="23">
        <v>5431</v>
      </c>
      <c r="B39" s="23" t="s">
        <v>35</v>
      </c>
      <c r="C39" s="37">
        <f>5403.58</f>
        <v>5403.58</v>
      </c>
      <c r="D39" s="37">
        <f>4999.6</f>
        <v>4999.6000000000004</v>
      </c>
      <c r="E39" s="37">
        <f>7261.76</f>
        <v>7261.76</v>
      </c>
      <c r="F39" s="37">
        <f>3742.9+9.54</f>
        <v>3752.44</v>
      </c>
      <c r="G39" s="37">
        <v>3878.41</v>
      </c>
      <c r="I39" s="37">
        <v>3968.5</v>
      </c>
      <c r="J39" s="37">
        <v>0</v>
      </c>
      <c r="K39" s="37">
        <v>0</v>
      </c>
      <c r="L39" s="37">
        <v>0</v>
      </c>
      <c r="M39" s="37">
        <v>3968.5</v>
      </c>
      <c r="N39" s="37">
        <v>0</v>
      </c>
      <c r="O39" s="37">
        <f t="shared" si="13"/>
        <v>0</v>
      </c>
      <c r="Q39" s="65"/>
      <c r="T39" s="68"/>
    </row>
    <row r="40" spans="1:20" x14ac:dyDescent="0.2">
      <c r="A40" s="23">
        <v>5451</v>
      </c>
      <c r="B40" s="23" t="s">
        <v>36</v>
      </c>
      <c r="C40" s="41">
        <v>2204.9499999999998</v>
      </c>
      <c r="D40" s="41">
        <f>1757.95</f>
        <v>1757.95</v>
      </c>
      <c r="E40" s="41">
        <f>2416.58</f>
        <v>2416.58</v>
      </c>
      <c r="F40" s="41">
        <f>2908.38</f>
        <v>2908.38</v>
      </c>
      <c r="G40" s="41">
        <v>3144.62</v>
      </c>
      <c r="I40" s="41">
        <f>I26*0.16</f>
        <v>2777.6</v>
      </c>
      <c r="J40" s="37">
        <v>0</v>
      </c>
      <c r="K40" s="41">
        <v>0</v>
      </c>
      <c r="L40" s="41">
        <v>0</v>
      </c>
      <c r="M40" s="41">
        <v>2777.6</v>
      </c>
      <c r="N40" s="41">
        <v>0</v>
      </c>
      <c r="O40" s="37">
        <f t="shared" si="13"/>
        <v>0</v>
      </c>
      <c r="Q40" s="65"/>
      <c r="T40" s="68"/>
    </row>
    <row r="41" spans="1:20" x14ac:dyDescent="0.2">
      <c r="A41" s="23">
        <v>5510</v>
      </c>
      <c r="B41" s="23" t="s">
        <v>37</v>
      </c>
      <c r="C41" s="41">
        <v>7778.14</v>
      </c>
      <c r="D41" s="41">
        <f>8933+2.16</f>
        <v>8935.16</v>
      </c>
      <c r="E41" s="41">
        <f>5384.39+239</f>
        <v>5623.39</v>
      </c>
      <c r="F41" s="41">
        <f>2715.48+3.47</f>
        <v>2718.95</v>
      </c>
      <c r="G41" s="41">
        <v>3713.31</v>
      </c>
      <c r="I41" s="41">
        <v>3850</v>
      </c>
      <c r="J41" s="37">
        <v>0</v>
      </c>
      <c r="K41" s="41">
        <v>0</v>
      </c>
      <c r="L41" s="41">
        <v>0</v>
      </c>
      <c r="M41" s="41">
        <v>3850</v>
      </c>
      <c r="N41" s="41">
        <v>0</v>
      </c>
      <c r="O41" s="37">
        <f t="shared" si="13"/>
        <v>0</v>
      </c>
      <c r="Q41" s="65"/>
      <c r="T41" s="68"/>
    </row>
    <row r="42" spans="1:20" x14ac:dyDescent="0.2">
      <c r="A42" s="23">
        <v>5622</v>
      </c>
      <c r="B42" s="23" t="s">
        <v>38</v>
      </c>
      <c r="C42" s="41">
        <f>2297.4</f>
        <v>2297.4</v>
      </c>
      <c r="D42" s="41">
        <f>5570.33</f>
        <v>5570.33</v>
      </c>
      <c r="E42" s="41">
        <f>2863.57</f>
        <v>2863.57</v>
      </c>
      <c r="F42" s="41">
        <v>0</v>
      </c>
      <c r="G42" s="41">
        <v>0</v>
      </c>
      <c r="I42" s="41">
        <v>0</v>
      </c>
      <c r="J42" s="37">
        <f t="shared" si="15"/>
        <v>0</v>
      </c>
      <c r="K42" s="41">
        <v>0</v>
      </c>
      <c r="L42" s="41">
        <v>0</v>
      </c>
      <c r="M42" s="41">
        <v>0</v>
      </c>
      <c r="N42" s="41">
        <v>0</v>
      </c>
      <c r="O42" s="37">
        <f t="shared" si="13"/>
        <v>0</v>
      </c>
      <c r="Q42" s="65"/>
      <c r="T42" s="68"/>
    </row>
    <row r="43" spans="1:20" x14ac:dyDescent="0.2">
      <c r="A43" s="23">
        <v>5711</v>
      </c>
      <c r="B43" s="23" t="s">
        <v>39</v>
      </c>
      <c r="C43" s="41">
        <v>0</v>
      </c>
      <c r="D43" s="41">
        <v>0</v>
      </c>
      <c r="E43" s="41">
        <f>500</f>
        <v>500</v>
      </c>
      <c r="F43" s="41">
        <v>0</v>
      </c>
      <c r="G43" s="41">
        <v>1563.14</v>
      </c>
      <c r="I43" s="41">
        <v>1900</v>
      </c>
      <c r="J43" s="37">
        <v>0</v>
      </c>
      <c r="K43" s="41">
        <v>0</v>
      </c>
      <c r="L43" s="41">
        <v>0</v>
      </c>
      <c r="M43" s="41">
        <v>1900</v>
      </c>
      <c r="N43" s="41">
        <v>0</v>
      </c>
      <c r="O43" s="37">
        <f t="shared" si="13"/>
        <v>0</v>
      </c>
      <c r="Q43" s="65"/>
      <c r="T43" s="68"/>
    </row>
    <row r="44" spans="1:20" x14ac:dyDescent="0.2">
      <c r="A44" s="23">
        <v>5714</v>
      </c>
      <c r="B44" s="23" t="s">
        <v>40</v>
      </c>
      <c r="C44" s="41">
        <v>3411.44</v>
      </c>
      <c r="D44" s="41">
        <f>2462.28</f>
        <v>2462.2800000000002</v>
      </c>
      <c r="E44" s="41">
        <f>2304.53+65.95</f>
        <v>2370.48</v>
      </c>
      <c r="F44" s="41">
        <f>2791.97</f>
        <v>2791.97</v>
      </c>
      <c r="G44" s="41">
        <v>1857.17</v>
      </c>
      <c r="I44" s="41">
        <v>2000</v>
      </c>
      <c r="J44" s="37">
        <v>0</v>
      </c>
      <c r="K44" s="41">
        <v>0</v>
      </c>
      <c r="L44" s="41">
        <v>0</v>
      </c>
      <c r="M44" s="41">
        <v>2000</v>
      </c>
      <c r="N44" s="41">
        <v>0</v>
      </c>
      <c r="O44" s="37">
        <f t="shared" si="13"/>
        <v>0</v>
      </c>
      <c r="Q44" s="65"/>
      <c r="T44" s="68"/>
    </row>
    <row r="45" spans="1:20" x14ac:dyDescent="0.2">
      <c r="A45" s="23">
        <v>5721</v>
      </c>
      <c r="B45" s="23" t="s">
        <v>41</v>
      </c>
      <c r="C45" s="41">
        <f>10.76+803.14</f>
        <v>813.9</v>
      </c>
      <c r="D45" s="41">
        <f>3072.43</f>
        <v>3072.43</v>
      </c>
      <c r="E45" s="41">
        <f>4012.87</f>
        <v>4012.87</v>
      </c>
      <c r="F45" s="41">
        <f>1689.95+22.32</f>
        <v>1712.27</v>
      </c>
      <c r="G45" s="41">
        <v>4599.7299999999996</v>
      </c>
      <c r="I45" s="41">
        <v>5000</v>
      </c>
      <c r="J45" s="37">
        <v>0</v>
      </c>
      <c r="K45" s="41">
        <v>0</v>
      </c>
      <c r="L45" s="41">
        <v>0</v>
      </c>
      <c r="M45" s="41">
        <v>5000</v>
      </c>
      <c r="N45" s="41">
        <v>0</v>
      </c>
      <c r="O45" s="37">
        <f t="shared" si="13"/>
        <v>0</v>
      </c>
      <c r="Q45" s="65"/>
      <c r="T45" s="68"/>
    </row>
    <row r="46" spans="1:20" x14ac:dyDescent="0.2">
      <c r="A46" s="23">
        <v>5722</v>
      </c>
      <c r="B46" s="23" t="s">
        <v>42</v>
      </c>
      <c r="C46" s="41">
        <f>1150+2641.03</f>
        <v>3791.03</v>
      </c>
      <c r="D46" s="41">
        <f>2855.48</f>
        <v>2855.48</v>
      </c>
      <c r="E46" s="41">
        <f>2275.46</f>
        <v>2275.46</v>
      </c>
      <c r="F46" s="41">
        <f>2503.33</f>
        <v>2503.33</v>
      </c>
      <c r="G46" s="41">
        <v>1642.59</v>
      </c>
      <c r="I46" s="41">
        <v>2000</v>
      </c>
      <c r="J46" s="37">
        <v>0</v>
      </c>
      <c r="K46" s="41">
        <v>0</v>
      </c>
      <c r="L46" s="41">
        <v>0</v>
      </c>
      <c r="M46" s="41">
        <v>2000</v>
      </c>
      <c r="N46" s="41">
        <v>0</v>
      </c>
      <c r="O46" s="37">
        <f t="shared" si="13"/>
        <v>0</v>
      </c>
      <c r="Q46" s="65"/>
      <c r="T46" s="68"/>
    </row>
    <row r="47" spans="1:20" x14ac:dyDescent="0.2">
      <c r="A47" s="23">
        <v>5723</v>
      </c>
      <c r="B47" s="23" t="s">
        <v>43</v>
      </c>
      <c r="C47" s="41">
        <f>92+993</f>
        <v>1085</v>
      </c>
      <c r="D47" s="41">
        <f>1702.15</f>
        <v>1702.15</v>
      </c>
      <c r="E47" s="41">
        <v>0</v>
      </c>
      <c r="F47" s="41">
        <v>0</v>
      </c>
      <c r="G47" s="41">
        <v>0</v>
      </c>
      <c r="I47" s="41">
        <v>0</v>
      </c>
      <c r="J47" s="37">
        <f t="shared" si="15"/>
        <v>0</v>
      </c>
      <c r="K47" s="41">
        <v>0</v>
      </c>
      <c r="L47" s="41">
        <v>0</v>
      </c>
      <c r="M47" s="41">
        <v>0</v>
      </c>
      <c r="N47" s="41">
        <v>0</v>
      </c>
      <c r="O47" s="37">
        <f t="shared" si="13"/>
        <v>0</v>
      </c>
      <c r="Q47" s="65"/>
      <c r="T47" s="68"/>
    </row>
    <row r="48" spans="1:20" x14ac:dyDescent="0.2">
      <c r="A48" s="23">
        <v>5753</v>
      </c>
      <c r="B48" s="23" t="s">
        <v>44</v>
      </c>
      <c r="C48" s="41">
        <f>3731.7</f>
        <v>3731.7</v>
      </c>
      <c r="D48" s="41">
        <f>3805.71</f>
        <v>3805.71</v>
      </c>
      <c r="E48" s="41">
        <f>4097.1</f>
        <v>4097.1000000000004</v>
      </c>
      <c r="F48" s="41">
        <f>2194.61</f>
        <v>2194.61</v>
      </c>
      <c r="G48" s="41">
        <v>969.68</v>
      </c>
      <c r="I48" s="41">
        <v>1200</v>
      </c>
      <c r="J48" s="37">
        <v>0</v>
      </c>
      <c r="K48" s="41">
        <v>0</v>
      </c>
      <c r="L48" s="41">
        <v>0</v>
      </c>
      <c r="M48" s="41">
        <v>1200</v>
      </c>
      <c r="N48" s="41">
        <v>0</v>
      </c>
      <c r="O48" s="37">
        <f t="shared" si="13"/>
        <v>0</v>
      </c>
      <c r="Q48" s="65"/>
      <c r="T48" s="68"/>
    </row>
    <row r="49" spans="1:20" x14ac:dyDescent="0.2">
      <c r="A49" s="23">
        <v>5761</v>
      </c>
      <c r="B49" s="23" t="s">
        <v>45</v>
      </c>
      <c r="C49" s="41">
        <f>459.1+19712.17</f>
        <v>20171.269999999997</v>
      </c>
      <c r="D49" s="41">
        <f>11024.29+283.93</f>
        <v>11308.220000000001</v>
      </c>
      <c r="E49" s="41">
        <f>9384.13+88.39</f>
        <v>9472.5199999999986</v>
      </c>
      <c r="F49" s="41">
        <f>9405.39+688.15</f>
        <v>10093.539999999999</v>
      </c>
      <c r="G49" s="41">
        <v>9867.4699999999993</v>
      </c>
      <c r="I49" s="41">
        <v>10150</v>
      </c>
      <c r="J49" s="37">
        <v>0</v>
      </c>
      <c r="K49" s="41">
        <v>0</v>
      </c>
      <c r="L49" s="41">
        <v>0</v>
      </c>
      <c r="M49" s="41">
        <v>10150</v>
      </c>
      <c r="N49" s="41">
        <v>0</v>
      </c>
      <c r="O49" s="37">
        <f t="shared" si="13"/>
        <v>0</v>
      </c>
      <c r="Q49" s="65"/>
      <c r="T49" s="68"/>
    </row>
    <row r="50" spans="1:20" x14ac:dyDescent="0.2">
      <c r="A50" s="23">
        <v>5762</v>
      </c>
      <c r="B50" s="23" t="s">
        <v>46</v>
      </c>
      <c r="C50" s="41">
        <f>1219.37</f>
        <v>1219.3699999999999</v>
      </c>
      <c r="D50" s="41">
        <f>1678</f>
        <v>1678</v>
      </c>
      <c r="E50" s="41">
        <f>832.16</f>
        <v>832.16</v>
      </c>
      <c r="F50" s="41">
        <f>816.26</f>
        <v>816.26</v>
      </c>
      <c r="G50" s="41">
        <v>1010.32</v>
      </c>
      <c r="I50" s="41">
        <v>1000</v>
      </c>
      <c r="J50" s="37">
        <v>0</v>
      </c>
      <c r="K50" s="41">
        <v>0</v>
      </c>
      <c r="L50" s="41">
        <v>0</v>
      </c>
      <c r="M50" s="41">
        <v>1000</v>
      </c>
      <c r="N50" s="41">
        <v>0</v>
      </c>
      <c r="O50" s="37">
        <f t="shared" si="13"/>
        <v>0</v>
      </c>
      <c r="Q50" s="65"/>
      <c r="T50" s="68"/>
    </row>
    <row r="51" spans="1:20" x14ac:dyDescent="0.2">
      <c r="A51" s="23">
        <v>5791</v>
      </c>
      <c r="B51" s="23" t="s">
        <v>47</v>
      </c>
      <c r="C51" s="41">
        <v>0</v>
      </c>
      <c r="D51" s="41">
        <v>0</v>
      </c>
      <c r="E51" s="41">
        <f>2338.84</f>
        <v>2338.84</v>
      </c>
      <c r="F51" s="41">
        <v>0</v>
      </c>
      <c r="G51" s="41">
        <v>0</v>
      </c>
      <c r="I51" s="41">
        <v>0</v>
      </c>
      <c r="J51" s="37">
        <f t="shared" ref="J51:J52" si="16">I51*0.8</f>
        <v>0</v>
      </c>
      <c r="K51" s="41">
        <v>0</v>
      </c>
      <c r="L51" s="41">
        <v>0</v>
      </c>
      <c r="M51" s="41">
        <v>0</v>
      </c>
      <c r="N51" s="41">
        <v>0</v>
      </c>
      <c r="O51" s="37">
        <f t="shared" si="13"/>
        <v>0</v>
      </c>
      <c r="Q51" s="65"/>
      <c r="T51" s="68"/>
    </row>
    <row r="52" spans="1:20" x14ac:dyDescent="0.2">
      <c r="A52" s="23">
        <v>6741</v>
      </c>
      <c r="B52" s="23" t="s">
        <v>81</v>
      </c>
      <c r="C52" s="41">
        <v>4926.6000000000004</v>
      </c>
      <c r="D52" s="41">
        <v>0</v>
      </c>
      <c r="E52" s="41">
        <v>0</v>
      </c>
      <c r="F52" s="41">
        <v>0</v>
      </c>
      <c r="G52" s="41">
        <v>0</v>
      </c>
      <c r="I52" s="41">
        <v>0</v>
      </c>
      <c r="J52" s="37">
        <f t="shared" si="16"/>
        <v>0</v>
      </c>
      <c r="K52" s="41">
        <v>0</v>
      </c>
      <c r="L52" s="41">
        <v>0</v>
      </c>
      <c r="M52" s="41">
        <v>0</v>
      </c>
      <c r="N52" s="41">
        <v>0</v>
      </c>
      <c r="O52" s="37">
        <f t="shared" si="13"/>
        <v>0</v>
      </c>
      <c r="Q52" s="65"/>
      <c r="T52" s="68"/>
    </row>
    <row r="53" spans="1:20" x14ac:dyDescent="0.2">
      <c r="A53" s="23"/>
      <c r="B53" s="23" t="s">
        <v>48</v>
      </c>
      <c r="C53" s="34">
        <f t="shared" ref="C53:F53" si="17">SUM(C31:C52)</f>
        <v>158248.18</v>
      </c>
      <c r="D53" s="34">
        <f t="shared" si="17"/>
        <v>154332.25</v>
      </c>
      <c r="E53" s="34">
        <f t="shared" si="17"/>
        <v>165362.85999999999</v>
      </c>
      <c r="F53" s="34">
        <f t="shared" si="17"/>
        <v>195237.15</v>
      </c>
      <c r="G53" s="34">
        <f t="shared" ref="G53:O53" si="18">SUM(G31:G52)</f>
        <v>167551.49000000002</v>
      </c>
      <c r="I53" s="34">
        <f t="shared" si="18"/>
        <v>188286.17600619217</v>
      </c>
      <c r="J53" s="34">
        <f t="shared" si="18"/>
        <v>53307.000008000003</v>
      </c>
      <c r="K53" s="34">
        <f t="shared" si="18"/>
        <v>60993.001195790399</v>
      </c>
      <c r="L53" s="34">
        <f t="shared" ref="L53:M53" si="19">SUM(L31:L52)</f>
        <v>0</v>
      </c>
      <c r="M53" s="34">
        <f t="shared" si="19"/>
        <v>73986.17</v>
      </c>
      <c r="N53" s="34">
        <f t="shared" si="18"/>
        <v>0</v>
      </c>
      <c r="O53" s="34">
        <f t="shared" si="18"/>
        <v>4.8024017378338613E-3</v>
      </c>
      <c r="Q53" s="65">
        <f>64465-3472</f>
        <v>60993</v>
      </c>
      <c r="R53" s="65">
        <f>67195-13888</f>
        <v>53307</v>
      </c>
      <c r="T53" s="68">
        <f>R53+Q53-J53-K53</f>
        <v>-1.2037904016324319E-3</v>
      </c>
    </row>
    <row r="54" spans="1:20" x14ac:dyDescent="0.2">
      <c r="A54" s="23"/>
      <c r="B54" s="23"/>
      <c r="C54" s="41"/>
      <c r="D54" s="41"/>
      <c r="E54" s="41"/>
      <c r="F54" s="41"/>
      <c r="G54" s="41"/>
      <c r="I54" s="41"/>
      <c r="J54" s="41"/>
      <c r="K54" s="41"/>
      <c r="L54" s="41"/>
      <c r="M54" s="41"/>
      <c r="N54" s="41"/>
      <c r="O54" s="41"/>
      <c r="Q54" s="65">
        <f>Q53-K53</f>
        <v>-1.1957903989241458E-3</v>
      </c>
      <c r="R54" s="68">
        <f>R53-J53</f>
        <v>-8.000002708286047E-6</v>
      </c>
    </row>
    <row r="55" spans="1:20" x14ac:dyDescent="0.2">
      <c r="A55" s="23">
        <v>5111</v>
      </c>
      <c r="B55" s="23" t="s">
        <v>82</v>
      </c>
      <c r="C55" s="41">
        <f>47266.29</f>
        <v>47266.29</v>
      </c>
      <c r="D55" s="41">
        <f>46529.29</f>
        <v>46529.29</v>
      </c>
      <c r="E55" s="41">
        <f>37669.37-0.69</f>
        <v>37668.68</v>
      </c>
      <c r="F55" s="41">
        <f>26546.91+2245.81</f>
        <v>28792.720000000001</v>
      </c>
      <c r="G55" s="41">
        <v>14907.52</v>
      </c>
      <c r="I55" s="41">
        <f>Staffing!G32</f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37">
        <f t="shared" ref="O55:O86" si="20">I55-J55-K55-N55-L55-M55</f>
        <v>0</v>
      </c>
      <c r="Q55" s="65"/>
    </row>
    <row r="56" spans="1:20" x14ac:dyDescent="0.2">
      <c r="A56" s="23">
        <v>5150</v>
      </c>
      <c r="B56" s="23" t="s">
        <v>30</v>
      </c>
      <c r="C56" s="41">
        <f>118759.49+4429.65+9960.19+1677.37+37198.32</f>
        <v>172025.02</v>
      </c>
      <c r="D56" s="41">
        <f>137202.74+349.37+832.09+41.17+2801.89</f>
        <v>141227.26</v>
      </c>
      <c r="E56" s="41">
        <f>141763.94+5153.09</f>
        <v>146917.03</v>
      </c>
      <c r="F56" s="41">
        <f>124869.05+8261.21</f>
        <v>133130.26</v>
      </c>
      <c r="G56" s="41">
        <v>70157.55</v>
      </c>
      <c r="I56" s="41">
        <f>(I55+I59+I64+I65+I66)*0.4869</f>
        <v>77943.231909071998</v>
      </c>
      <c r="J56" s="41">
        <f>I56*0.5</f>
        <v>38971.615954535999</v>
      </c>
      <c r="K56" s="41">
        <v>38971.620000000003</v>
      </c>
      <c r="L56" s="41">
        <v>0</v>
      </c>
      <c r="M56" s="41">
        <v>0</v>
      </c>
      <c r="N56" s="41">
        <v>0</v>
      </c>
      <c r="O56" s="37">
        <f t="shared" si="20"/>
        <v>-4.0454640038660727E-3</v>
      </c>
      <c r="Q56" s="65"/>
    </row>
    <row r="57" spans="1:20" x14ac:dyDescent="0.2">
      <c r="A57" s="23">
        <v>5199</v>
      </c>
      <c r="B57" s="23" t="s">
        <v>31</v>
      </c>
      <c r="C57" s="41">
        <f>62859.02</f>
        <v>62859.02</v>
      </c>
      <c r="D57" s="41">
        <f>53921.68</f>
        <v>53921.68</v>
      </c>
      <c r="E57" s="41">
        <f>52742.79+1980.18</f>
        <v>54722.97</v>
      </c>
      <c r="F57" s="41">
        <f>47893.15+3077.01</f>
        <v>50970.16</v>
      </c>
      <c r="G57" s="41">
        <v>26212.18</v>
      </c>
      <c r="I57" s="41">
        <f>(I55+I56+I59+I64+I65+I66)*0.1482</f>
        <v>35275.128166140472</v>
      </c>
      <c r="J57" s="41">
        <f>I57*0.5</f>
        <v>17637.564083070236</v>
      </c>
      <c r="K57" s="41">
        <v>17637.560000000001</v>
      </c>
      <c r="L57" s="41">
        <v>0</v>
      </c>
      <c r="M57" s="41">
        <v>0</v>
      </c>
      <c r="N57" s="41">
        <v>0</v>
      </c>
      <c r="O57" s="37">
        <f t="shared" si="20"/>
        <v>4.0830702346283942E-3</v>
      </c>
      <c r="Q57" s="65"/>
    </row>
    <row r="58" spans="1:20" x14ac:dyDescent="0.2">
      <c r="A58" s="23">
        <v>5203</v>
      </c>
      <c r="B58" s="23" t="s">
        <v>49</v>
      </c>
      <c r="C58" s="41">
        <v>5362.03</v>
      </c>
      <c r="D58" s="41">
        <f>2844.6</f>
        <v>2844.6</v>
      </c>
      <c r="E58" s="41">
        <f>2172.13</f>
        <v>2172.13</v>
      </c>
      <c r="F58" s="41">
        <f>2009.25</f>
        <v>2009.25</v>
      </c>
      <c r="G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37">
        <f t="shared" si="20"/>
        <v>0</v>
      </c>
      <c r="Q58" s="65"/>
    </row>
    <row r="59" spans="1:20" x14ac:dyDescent="0.2">
      <c r="A59" s="23">
        <v>5210</v>
      </c>
      <c r="B59" s="23" t="s">
        <v>50</v>
      </c>
      <c r="C59" s="41">
        <f>1035.65+508864.03</f>
        <v>509899.68000000005</v>
      </c>
      <c r="D59" s="41">
        <f>212909.56</f>
        <v>212909.56</v>
      </c>
      <c r="E59" s="41">
        <f>189241.96+9144.04</f>
        <v>198386</v>
      </c>
      <c r="F59" s="41">
        <f>197165.06+10792.82</f>
        <v>207957.88</v>
      </c>
      <c r="G59" s="41">
        <v>106661.06</v>
      </c>
      <c r="I59" s="41">
        <f>Staffing!G82</f>
        <v>122663.10800000001</v>
      </c>
      <c r="J59" s="41">
        <f>I59*0.5</f>
        <v>61331.554000000004</v>
      </c>
      <c r="K59" s="41">
        <f>I59*0.5</f>
        <v>61331.554000000004</v>
      </c>
      <c r="L59" s="41">
        <v>0</v>
      </c>
      <c r="M59" s="41">
        <v>0</v>
      </c>
      <c r="N59" s="41">
        <v>0</v>
      </c>
      <c r="O59" s="37">
        <f t="shared" si="20"/>
        <v>0</v>
      </c>
      <c r="Q59" s="65"/>
    </row>
    <row r="60" spans="1:20" x14ac:dyDescent="0.2">
      <c r="A60" s="88">
        <v>5211</v>
      </c>
      <c r="B60" s="88" t="s">
        <v>83</v>
      </c>
      <c r="C60" s="89">
        <f>786.5-66.96+1380.49+626.29+104309.74</f>
        <v>107036.06</v>
      </c>
      <c r="D60" s="89">
        <f>120544.67</f>
        <v>120544.67</v>
      </c>
      <c r="E60" s="89">
        <f>140776.96+6750.52</f>
        <v>147527.47999999998</v>
      </c>
      <c r="F60" s="89">
        <f>138601.82+1491.2</f>
        <v>140093.02000000002</v>
      </c>
      <c r="G60" s="89">
        <v>136908.01999999999</v>
      </c>
      <c r="H60" s="90"/>
      <c r="I60" s="89">
        <v>148711</v>
      </c>
      <c r="J60" s="89">
        <v>86535.63</v>
      </c>
      <c r="K60" s="89">
        <v>17667.87</v>
      </c>
      <c r="L60" s="89">
        <v>0</v>
      </c>
      <c r="M60" s="89">
        <v>44507.5</v>
      </c>
      <c r="N60" s="89">
        <v>0</v>
      </c>
      <c r="O60" s="91">
        <f t="shared" si="20"/>
        <v>0</v>
      </c>
      <c r="Q60" s="65"/>
    </row>
    <row r="61" spans="1:20" x14ac:dyDescent="0.2">
      <c r="A61" s="88">
        <v>5214</v>
      </c>
      <c r="B61" s="88" t="s">
        <v>84</v>
      </c>
      <c r="C61" s="89">
        <f>957.29</f>
        <v>957.29</v>
      </c>
      <c r="D61" s="89">
        <f>1810.53</f>
        <v>1810.53</v>
      </c>
      <c r="E61" s="89">
        <f>4760.71+220.84</f>
        <v>4981.55</v>
      </c>
      <c r="F61" s="89">
        <f>1441.07</f>
        <v>1441.07</v>
      </c>
      <c r="G61" s="89">
        <v>2864.2</v>
      </c>
      <c r="H61" s="90"/>
      <c r="I61" s="89">
        <v>2800</v>
      </c>
      <c r="J61" s="89">
        <v>1400</v>
      </c>
      <c r="K61" s="89">
        <v>1400</v>
      </c>
      <c r="L61" s="89">
        <v>0</v>
      </c>
      <c r="M61" s="89">
        <v>0</v>
      </c>
      <c r="N61" s="89">
        <v>0</v>
      </c>
      <c r="O61" s="91">
        <f t="shared" si="20"/>
        <v>0</v>
      </c>
      <c r="P61" s="68"/>
      <c r="Q61" s="65"/>
    </row>
    <row r="62" spans="1:20" x14ac:dyDescent="0.2">
      <c r="A62" s="88">
        <v>5215</v>
      </c>
      <c r="B62" s="88" t="s">
        <v>85</v>
      </c>
      <c r="C62" s="89">
        <f>1742.52+866.4</f>
        <v>2608.92</v>
      </c>
      <c r="D62" s="89">
        <f>337452.87</f>
        <v>337452.87</v>
      </c>
      <c r="E62" s="89">
        <f>359556.95+18668.76</f>
        <v>378225.71</v>
      </c>
      <c r="F62" s="89">
        <f>353032.61+1896.79</f>
        <v>354929.39999999997</v>
      </c>
      <c r="G62" s="89">
        <v>314559.21999999997</v>
      </c>
      <c r="H62" s="90"/>
      <c r="I62" s="89">
        <v>400000</v>
      </c>
      <c r="J62" s="89">
        <v>27180.34</v>
      </c>
      <c r="K62" s="89">
        <v>58585.659999999974</v>
      </c>
      <c r="L62" s="89">
        <v>0</v>
      </c>
      <c r="M62" s="89">
        <v>50000</v>
      </c>
      <c r="N62" s="89">
        <v>264234</v>
      </c>
      <c r="O62" s="91">
        <f t="shared" si="20"/>
        <v>0</v>
      </c>
      <c r="Q62" s="65"/>
    </row>
    <row r="63" spans="1:20" x14ac:dyDescent="0.2">
      <c r="A63" s="88">
        <v>5216</v>
      </c>
      <c r="B63" s="88" t="s">
        <v>86</v>
      </c>
      <c r="C63" s="89">
        <v>0</v>
      </c>
      <c r="D63" s="89">
        <f>26111.46</f>
        <v>26111.46</v>
      </c>
      <c r="E63" s="89">
        <f>26373.4+1821.51</f>
        <v>28194.91</v>
      </c>
      <c r="F63" s="89">
        <f>7598.03+1655.88</f>
        <v>9253.91</v>
      </c>
      <c r="G63" s="89">
        <v>12031.56</v>
      </c>
      <c r="H63" s="90"/>
      <c r="I63" s="89">
        <v>20000</v>
      </c>
      <c r="J63" s="89">
        <v>10000</v>
      </c>
      <c r="K63" s="89">
        <v>10000</v>
      </c>
      <c r="L63" s="89">
        <v>0</v>
      </c>
      <c r="M63" s="89">
        <v>0</v>
      </c>
      <c r="N63" s="89">
        <v>0</v>
      </c>
      <c r="O63" s="91">
        <f t="shared" si="20"/>
        <v>0</v>
      </c>
      <c r="Q63" s="65"/>
    </row>
    <row r="64" spans="1:20" x14ac:dyDescent="0.2">
      <c r="A64" s="23">
        <v>5217</v>
      </c>
      <c r="B64" s="23" t="s">
        <v>51</v>
      </c>
      <c r="C64" s="41">
        <f>90290.31</f>
        <v>90290.31</v>
      </c>
      <c r="D64" s="41">
        <f>41887.12</f>
        <v>41887.120000000003</v>
      </c>
      <c r="E64" s="41">
        <f>65066.32+1947.19</f>
        <v>67013.509999999995</v>
      </c>
      <c r="F64" s="41">
        <f>28362.02+2528.56</f>
        <v>30890.58</v>
      </c>
      <c r="G64" s="41">
        <v>19694.3</v>
      </c>
      <c r="I64" s="41">
        <f>Staffing!G36</f>
        <v>30617.466880000004</v>
      </c>
      <c r="J64" s="41">
        <v>15308.73</v>
      </c>
      <c r="K64" s="41">
        <v>15308.733440000002</v>
      </c>
      <c r="L64" s="41">
        <v>0</v>
      </c>
      <c r="M64" s="41">
        <v>0</v>
      </c>
      <c r="N64" s="41">
        <v>0</v>
      </c>
      <c r="O64" s="37">
        <f t="shared" si="20"/>
        <v>3.4400000022287713E-3</v>
      </c>
      <c r="Q64" s="65"/>
    </row>
    <row r="65" spans="1:17" x14ac:dyDescent="0.2">
      <c r="A65" s="23">
        <v>5218</v>
      </c>
      <c r="B65" s="23" t="s">
        <v>287</v>
      </c>
      <c r="C65" s="41">
        <v>0</v>
      </c>
      <c r="D65" s="41">
        <v>0</v>
      </c>
      <c r="E65" s="41">
        <v>0</v>
      </c>
      <c r="F65" s="41">
        <v>0</v>
      </c>
      <c r="G65" s="41">
        <v>2673.43</v>
      </c>
      <c r="I65" s="41">
        <v>3600</v>
      </c>
      <c r="J65" s="41">
        <v>1800</v>
      </c>
      <c r="K65" s="41">
        <v>1800</v>
      </c>
      <c r="L65" s="41">
        <v>0</v>
      </c>
      <c r="M65" s="41">
        <v>0</v>
      </c>
      <c r="N65" s="41">
        <v>0</v>
      </c>
      <c r="O65" s="37">
        <f t="shared" ref="O65:O66" si="21">I65-J65-K65-N65-L65-M65</f>
        <v>0</v>
      </c>
      <c r="Q65" s="65"/>
    </row>
    <row r="66" spans="1:17" x14ac:dyDescent="0.2">
      <c r="A66" s="23">
        <v>5219</v>
      </c>
      <c r="B66" s="23" t="s">
        <v>288</v>
      </c>
      <c r="C66" s="41">
        <v>0</v>
      </c>
      <c r="D66" s="41">
        <v>0</v>
      </c>
      <c r="E66" s="41">
        <v>0</v>
      </c>
      <c r="F66" s="41">
        <v>0</v>
      </c>
      <c r="G66" s="41">
        <v>3788.68</v>
      </c>
      <c r="I66" s="41">
        <v>3200</v>
      </c>
      <c r="J66" s="41">
        <v>1600</v>
      </c>
      <c r="K66" s="41">
        <v>1600</v>
      </c>
      <c r="L66" s="41">
        <v>0</v>
      </c>
      <c r="M66" s="41">
        <v>0</v>
      </c>
      <c r="N66" s="41">
        <v>0</v>
      </c>
      <c r="O66" s="37">
        <f t="shared" si="21"/>
        <v>0</v>
      </c>
      <c r="Q66" s="65"/>
    </row>
    <row r="67" spans="1:17" x14ac:dyDescent="0.2">
      <c r="A67" s="23">
        <v>5309</v>
      </c>
      <c r="B67" s="23" t="s">
        <v>52</v>
      </c>
      <c r="C67" s="41">
        <f>1237.85</f>
        <v>1237.8499999999999</v>
      </c>
      <c r="D67" s="41">
        <f>154.55</f>
        <v>154.55000000000001</v>
      </c>
      <c r="E67" s="41">
        <f>951.75</f>
        <v>951.75</v>
      </c>
      <c r="F67" s="41">
        <f>526.17</f>
        <v>526.16999999999996</v>
      </c>
      <c r="G67" s="41">
        <v>154.62</v>
      </c>
      <c r="I67" s="41">
        <v>500</v>
      </c>
      <c r="J67" s="41">
        <v>250</v>
      </c>
      <c r="K67" s="41">
        <v>250</v>
      </c>
      <c r="L67" s="41">
        <v>0</v>
      </c>
      <c r="M67" s="41">
        <v>0</v>
      </c>
      <c r="N67" s="41">
        <v>0</v>
      </c>
      <c r="O67" s="37">
        <f t="shared" si="20"/>
        <v>0</v>
      </c>
      <c r="Q67" s="65"/>
    </row>
    <row r="68" spans="1:17" x14ac:dyDescent="0.2">
      <c r="A68" s="23">
        <v>5310</v>
      </c>
      <c r="B68" s="23" t="s">
        <v>53</v>
      </c>
      <c r="C68" s="41">
        <f>-590.56+6330.28</f>
        <v>5739.7199999999993</v>
      </c>
      <c r="D68" s="41">
        <f>9703.78</f>
        <v>9703.7800000000007</v>
      </c>
      <c r="E68" s="41">
        <f>5197.55-1.51</f>
        <v>5196.04</v>
      </c>
      <c r="F68" s="41">
        <f>1788.47</f>
        <v>1788.47</v>
      </c>
      <c r="G68" s="41">
        <v>1572.08</v>
      </c>
      <c r="I68" s="41">
        <v>1500</v>
      </c>
      <c r="J68" s="41">
        <v>750</v>
      </c>
      <c r="K68" s="41">
        <v>750</v>
      </c>
      <c r="L68" s="41">
        <v>0</v>
      </c>
      <c r="M68" s="41">
        <v>0</v>
      </c>
      <c r="N68" s="41">
        <v>0</v>
      </c>
      <c r="O68" s="37">
        <f t="shared" si="20"/>
        <v>0</v>
      </c>
      <c r="Q68" s="65"/>
    </row>
    <row r="69" spans="1:17" x14ac:dyDescent="0.2">
      <c r="A69" s="23">
        <v>5315</v>
      </c>
      <c r="B69" s="23" t="s">
        <v>87</v>
      </c>
      <c r="C69" s="41">
        <v>9237.93</v>
      </c>
      <c r="D69" s="41">
        <v>0</v>
      </c>
      <c r="E69" s="41">
        <v>0</v>
      </c>
      <c r="F69" s="41">
        <v>0</v>
      </c>
      <c r="G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37">
        <f t="shared" si="20"/>
        <v>0</v>
      </c>
      <c r="Q69" s="65"/>
    </row>
    <row r="70" spans="1:17" x14ac:dyDescent="0.2">
      <c r="A70" s="23">
        <v>5351</v>
      </c>
      <c r="B70" s="23" t="s">
        <v>54</v>
      </c>
      <c r="C70" s="41">
        <f>13533.55+268181.89</f>
        <v>281715.44</v>
      </c>
      <c r="D70" s="41">
        <f>169211.46+20721.32</f>
        <v>189932.78</v>
      </c>
      <c r="E70" s="41">
        <f>196903.57+13373.97+13142</f>
        <v>223419.54</v>
      </c>
      <c r="F70" s="41">
        <f>234380.98+2870.71</f>
        <v>237251.69</v>
      </c>
      <c r="G70" s="41">
        <v>250691.72</v>
      </c>
      <c r="I70" s="41">
        <v>250000</v>
      </c>
      <c r="J70" s="41">
        <f>214000*0.5</f>
        <v>107000</v>
      </c>
      <c r="K70" s="41">
        <v>107000</v>
      </c>
      <c r="L70" s="41">
        <v>36000</v>
      </c>
      <c r="M70" s="41">
        <v>0</v>
      </c>
      <c r="N70" s="41">
        <v>0</v>
      </c>
      <c r="O70" s="37">
        <f t="shared" si="20"/>
        <v>0</v>
      </c>
      <c r="Q70" s="65"/>
    </row>
    <row r="71" spans="1:17" x14ac:dyDescent="0.2">
      <c r="A71" s="23">
        <v>5352</v>
      </c>
      <c r="B71" s="23" t="s">
        <v>55</v>
      </c>
      <c r="C71" s="41">
        <v>1394.32</v>
      </c>
      <c r="D71" s="41">
        <f>1680.59</f>
        <v>1680.59</v>
      </c>
      <c r="E71" s="41">
        <f>12.44</f>
        <v>12.44</v>
      </c>
      <c r="F71" s="41">
        <v>0</v>
      </c>
      <c r="G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37">
        <f t="shared" si="20"/>
        <v>0</v>
      </c>
      <c r="Q71" s="65"/>
    </row>
    <row r="72" spans="1:17" x14ac:dyDescent="0.2">
      <c r="A72" s="23">
        <v>5363</v>
      </c>
      <c r="B72" s="23" t="s">
        <v>56</v>
      </c>
      <c r="C72" s="41">
        <v>3440.16</v>
      </c>
      <c r="D72" s="41">
        <f>8296.04</f>
        <v>8296.0400000000009</v>
      </c>
      <c r="E72" s="41">
        <f>13959.31</f>
        <v>13959.31</v>
      </c>
      <c r="F72" s="41">
        <f>18319.93+220.83+444.4</f>
        <v>18985.160000000003</v>
      </c>
      <c r="G72" s="41">
        <v>23422.7</v>
      </c>
      <c r="I72" s="41">
        <v>23000</v>
      </c>
      <c r="J72" s="41">
        <f>I72/2</f>
        <v>11500</v>
      </c>
      <c r="K72" s="41">
        <v>11500</v>
      </c>
      <c r="L72" s="41">
        <v>0</v>
      </c>
      <c r="M72" s="41">
        <v>0</v>
      </c>
      <c r="N72" s="41">
        <v>0</v>
      </c>
      <c r="O72" s="37">
        <f t="shared" si="20"/>
        <v>0</v>
      </c>
      <c r="Q72" s="65"/>
    </row>
    <row r="73" spans="1:17" x14ac:dyDescent="0.2">
      <c r="A73" s="23">
        <v>5516</v>
      </c>
      <c r="B73" s="23" t="s">
        <v>119</v>
      </c>
      <c r="C73" s="41">
        <f>3173</f>
        <v>3173</v>
      </c>
      <c r="D73" s="41">
        <f>2510.26</f>
        <v>2510.2600000000002</v>
      </c>
      <c r="E73" s="41">
        <f>3887.7</f>
        <v>3887.7</v>
      </c>
      <c r="F73" s="41">
        <f>3260.63</f>
        <v>3260.63</v>
      </c>
      <c r="G73" s="41">
        <v>7588.05</v>
      </c>
      <c r="I73" s="41">
        <v>7500</v>
      </c>
      <c r="J73" s="41">
        <f>7500/2</f>
        <v>3750</v>
      </c>
      <c r="K73" s="41">
        <v>3750</v>
      </c>
      <c r="L73" s="41">
        <v>0</v>
      </c>
      <c r="M73" s="41">
        <v>0</v>
      </c>
      <c r="N73" s="41">
        <v>0</v>
      </c>
      <c r="O73" s="37">
        <f t="shared" si="20"/>
        <v>0</v>
      </c>
      <c r="Q73" s="65"/>
    </row>
    <row r="74" spans="1:17" x14ac:dyDescent="0.2">
      <c r="A74" s="23">
        <v>5711</v>
      </c>
      <c r="B74" s="23" t="s">
        <v>39</v>
      </c>
      <c r="C74" s="41">
        <v>57086.81</v>
      </c>
      <c r="D74" s="41">
        <f>49404.05</f>
        <v>49404.05</v>
      </c>
      <c r="E74" s="41">
        <f>45563.85</f>
        <v>45563.85</v>
      </c>
      <c r="F74" s="41">
        <f>32335.53</f>
        <v>32335.53</v>
      </c>
      <c r="G74" s="41">
        <v>26056.63</v>
      </c>
      <c r="I74" s="41">
        <v>26000</v>
      </c>
      <c r="J74" s="41">
        <f>26000/2</f>
        <v>13000</v>
      </c>
      <c r="K74" s="41">
        <v>13000</v>
      </c>
      <c r="L74" s="41">
        <v>0</v>
      </c>
      <c r="M74" s="41">
        <v>0</v>
      </c>
      <c r="N74" s="41">
        <v>0</v>
      </c>
      <c r="O74" s="37">
        <f t="shared" si="20"/>
        <v>0</v>
      </c>
      <c r="Q74" s="65"/>
    </row>
    <row r="75" spans="1:17" x14ac:dyDescent="0.2">
      <c r="A75" s="23">
        <v>5631</v>
      </c>
      <c r="B75" s="23" t="s">
        <v>57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37">
        <f t="shared" si="20"/>
        <v>0</v>
      </c>
      <c r="Q75" s="65"/>
    </row>
    <row r="76" spans="1:17" x14ac:dyDescent="0.2">
      <c r="A76" s="23">
        <v>5751</v>
      </c>
      <c r="B76" s="23" t="s">
        <v>58</v>
      </c>
      <c r="C76" s="41">
        <v>3476.76</v>
      </c>
      <c r="D76" s="41">
        <f>1498.52</f>
        <v>1498.52</v>
      </c>
      <c r="E76" s="41">
        <f>2961.61</f>
        <v>2961.61</v>
      </c>
      <c r="F76" s="41">
        <f>1572.22</f>
        <v>1572.22</v>
      </c>
      <c r="G76" s="41">
        <v>1574.21</v>
      </c>
      <c r="I76" s="41">
        <v>2500</v>
      </c>
      <c r="J76" s="41">
        <v>1250</v>
      </c>
      <c r="K76" s="41">
        <v>1250</v>
      </c>
      <c r="L76" s="41">
        <v>0</v>
      </c>
      <c r="M76" s="41">
        <v>0</v>
      </c>
      <c r="N76" s="41">
        <v>0</v>
      </c>
      <c r="O76" s="37">
        <f t="shared" si="20"/>
        <v>0</v>
      </c>
      <c r="Q76" s="65"/>
    </row>
    <row r="77" spans="1:17" x14ac:dyDescent="0.2">
      <c r="A77" s="23">
        <v>5791</v>
      </c>
      <c r="B77" s="23" t="s">
        <v>47</v>
      </c>
      <c r="C77" s="41">
        <v>0</v>
      </c>
      <c r="D77" s="41">
        <f>128.25</f>
        <v>128.25</v>
      </c>
      <c r="E77" s="41">
        <v>5</v>
      </c>
      <c r="F77" s="41">
        <v>0</v>
      </c>
      <c r="G77" s="41">
        <v>0</v>
      </c>
      <c r="I77" s="41">
        <v>500</v>
      </c>
      <c r="J77" s="41">
        <v>250</v>
      </c>
      <c r="K77" s="41">
        <v>250</v>
      </c>
      <c r="L77" s="41">
        <v>0</v>
      </c>
      <c r="M77" s="41">
        <v>0</v>
      </c>
      <c r="N77" s="41">
        <v>0</v>
      </c>
      <c r="O77" s="37">
        <f t="shared" si="20"/>
        <v>0</v>
      </c>
      <c r="Q77" s="65"/>
    </row>
    <row r="78" spans="1:17" x14ac:dyDescent="0.2">
      <c r="A78" s="23">
        <v>5793</v>
      </c>
      <c r="B78" s="23" t="s">
        <v>59</v>
      </c>
      <c r="C78" s="41">
        <v>1200</v>
      </c>
      <c r="D78" s="41">
        <f>990</f>
        <v>990</v>
      </c>
      <c r="E78" s="41">
        <f>2788.21+65</f>
        <v>2853.21</v>
      </c>
      <c r="F78" s="41">
        <f>1722.33+165</f>
        <v>1887.33</v>
      </c>
      <c r="G78" s="41">
        <v>1911.91</v>
      </c>
      <c r="I78" s="41">
        <v>2000</v>
      </c>
      <c r="J78" s="41">
        <v>1000</v>
      </c>
      <c r="K78" s="41">
        <v>1000</v>
      </c>
      <c r="L78" s="41">
        <v>0</v>
      </c>
      <c r="M78" s="41">
        <v>0</v>
      </c>
      <c r="N78" s="41">
        <v>0</v>
      </c>
      <c r="O78" s="37">
        <f t="shared" si="20"/>
        <v>0</v>
      </c>
      <c r="Q78" s="65"/>
    </row>
    <row r="79" spans="1:17" x14ac:dyDescent="0.2">
      <c r="A79" s="23">
        <v>5795</v>
      </c>
      <c r="B79" s="23" t="s">
        <v>60</v>
      </c>
      <c r="C79" s="41">
        <v>3197.5</v>
      </c>
      <c r="D79" s="41">
        <f>3470.75</f>
        <v>3470.75</v>
      </c>
      <c r="E79" s="41">
        <f>2710+100</f>
        <v>2810</v>
      </c>
      <c r="F79" s="41">
        <f>2125+85</f>
        <v>2210</v>
      </c>
      <c r="G79" s="41">
        <v>2287.5</v>
      </c>
      <c r="I79" s="41">
        <v>3500</v>
      </c>
      <c r="J79" s="41">
        <f>3500/2</f>
        <v>1750</v>
      </c>
      <c r="K79" s="41">
        <v>1750</v>
      </c>
      <c r="L79" s="41">
        <v>0</v>
      </c>
      <c r="M79" s="41">
        <v>0</v>
      </c>
      <c r="N79" s="41">
        <v>0</v>
      </c>
      <c r="O79" s="37">
        <f t="shared" si="20"/>
        <v>0</v>
      </c>
      <c r="Q79" s="65"/>
    </row>
    <row r="80" spans="1:17" x14ac:dyDescent="0.2">
      <c r="A80" s="23">
        <v>5796</v>
      </c>
      <c r="B80" s="23" t="s">
        <v>61</v>
      </c>
      <c r="C80" s="41">
        <v>280</v>
      </c>
      <c r="D80" s="41">
        <f>394.73</f>
        <v>394.73</v>
      </c>
      <c r="E80" s="41">
        <f>429.32</f>
        <v>429.32</v>
      </c>
      <c r="F80" s="41">
        <f>1042.65</f>
        <v>1042.6500000000001</v>
      </c>
      <c r="G80" s="41">
        <v>499.33</v>
      </c>
      <c r="I80" s="41">
        <v>1300</v>
      </c>
      <c r="J80" s="41">
        <f>365303-364803</f>
        <v>500</v>
      </c>
      <c r="K80" s="41">
        <f>402765.43-402265.43</f>
        <v>500</v>
      </c>
      <c r="L80" s="41">
        <v>0</v>
      </c>
      <c r="M80" s="41">
        <v>300</v>
      </c>
      <c r="N80" s="41">
        <v>0</v>
      </c>
      <c r="O80" s="37">
        <f t="shared" si="20"/>
        <v>0</v>
      </c>
      <c r="Q80" s="65"/>
    </row>
    <row r="81" spans="1:18" x14ac:dyDescent="0.2">
      <c r="A81" s="23">
        <v>6142</v>
      </c>
      <c r="B81" s="23" t="s">
        <v>88</v>
      </c>
      <c r="C81" s="41">
        <v>10080</v>
      </c>
      <c r="D81" s="41">
        <f>12024</f>
        <v>12024</v>
      </c>
      <c r="E81" s="41">
        <f>12600</f>
        <v>12600</v>
      </c>
      <c r="F81" s="41">
        <f>12600</f>
        <v>12600</v>
      </c>
      <c r="G81" s="41">
        <v>11544</v>
      </c>
      <c r="I81" s="41">
        <v>11800</v>
      </c>
      <c r="J81" s="41">
        <v>0</v>
      </c>
      <c r="K81" s="41">
        <v>0</v>
      </c>
      <c r="L81" s="41">
        <v>0</v>
      </c>
      <c r="M81" s="41">
        <v>0</v>
      </c>
      <c r="N81" s="41">
        <v>11800</v>
      </c>
      <c r="O81" s="37">
        <f t="shared" si="20"/>
        <v>0</v>
      </c>
      <c r="Q81" s="65"/>
    </row>
    <row r="82" spans="1:18" x14ac:dyDescent="0.2">
      <c r="A82" s="23">
        <v>6441</v>
      </c>
      <c r="B82" s="23" t="s">
        <v>89</v>
      </c>
      <c r="C82" s="41">
        <v>10097.280000000001</v>
      </c>
      <c r="D82" s="41">
        <f>3910.92</f>
        <v>3910.92</v>
      </c>
      <c r="E82" s="41">
        <f>3910.92</f>
        <v>3910.92</v>
      </c>
      <c r="F82" s="41">
        <f>4511</f>
        <v>4511</v>
      </c>
      <c r="G82" s="41">
        <v>4740</v>
      </c>
      <c r="I82" s="41">
        <v>4300</v>
      </c>
      <c r="J82" s="41">
        <v>0</v>
      </c>
      <c r="K82" s="41">
        <v>0</v>
      </c>
      <c r="L82" s="41">
        <v>0</v>
      </c>
      <c r="M82" s="41">
        <v>0</v>
      </c>
      <c r="N82" s="41">
        <v>4300</v>
      </c>
      <c r="O82" s="37">
        <f t="shared" si="20"/>
        <v>0</v>
      </c>
      <c r="Q82" s="65"/>
    </row>
    <row r="83" spans="1:18" x14ac:dyDescent="0.2">
      <c r="A83" s="23">
        <v>6442</v>
      </c>
      <c r="B83" s="23" t="s">
        <v>90</v>
      </c>
      <c r="C83" s="41">
        <v>0</v>
      </c>
      <c r="D83" s="41">
        <f>10096.56</f>
        <v>10096.56</v>
      </c>
      <c r="E83" s="41">
        <f>10637.28</f>
        <v>10637.28</v>
      </c>
      <c r="F83" s="41">
        <f>10037.52</f>
        <v>10037.52</v>
      </c>
      <c r="G83" s="41">
        <v>9124.9599999999991</v>
      </c>
      <c r="I83" s="41">
        <v>9000</v>
      </c>
      <c r="J83" s="41">
        <v>0</v>
      </c>
      <c r="K83" s="41">
        <v>0</v>
      </c>
      <c r="L83" s="41">
        <v>0</v>
      </c>
      <c r="M83" s="41">
        <v>0</v>
      </c>
      <c r="N83" s="41">
        <v>9000</v>
      </c>
      <c r="O83" s="37">
        <f t="shared" si="20"/>
        <v>0</v>
      </c>
      <c r="Q83" s="65"/>
    </row>
    <row r="84" spans="1:18" x14ac:dyDescent="0.2">
      <c r="A84" s="23">
        <v>6141</v>
      </c>
      <c r="B84" s="23" t="s">
        <v>91</v>
      </c>
      <c r="C84" s="41">
        <f>1295.85</f>
        <v>1295.8499999999999</v>
      </c>
      <c r="D84" s="41">
        <f>2269.56</f>
        <v>2269.56</v>
      </c>
      <c r="E84" s="41">
        <f>1494.88+116</f>
        <v>1610.88</v>
      </c>
      <c r="F84" s="41">
        <f>312</f>
        <v>312</v>
      </c>
      <c r="G84" s="41">
        <v>0</v>
      </c>
      <c r="I84" s="41">
        <v>2200</v>
      </c>
      <c r="J84" s="41">
        <v>0</v>
      </c>
      <c r="K84" s="41">
        <v>0</v>
      </c>
      <c r="L84" s="41">
        <v>0</v>
      </c>
      <c r="M84" s="41">
        <v>0</v>
      </c>
      <c r="N84" s="41">
        <v>2200</v>
      </c>
      <c r="O84" s="37">
        <f t="shared" si="20"/>
        <v>0</v>
      </c>
      <c r="Q84" s="65"/>
    </row>
    <row r="85" spans="1:18" x14ac:dyDescent="0.2">
      <c r="A85" s="23">
        <v>6143</v>
      </c>
      <c r="B85" s="23" t="s">
        <v>92</v>
      </c>
      <c r="C85" s="41">
        <f>94.37</f>
        <v>94.37</v>
      </c>
      <c r="D85" s="41">
        <f>52.4</f>
        <v>52.4</v>
      </c>
      <c r="E85" s="41">
        <v>0</v>
      </c>
      <c r="F85" s="41">
        <v>0</v>
      </c>
      <c r="G85" s="41">
        <v>0</v>
      </c>
      <c r="I85" s="41">
        <v>0</v>
      </c>
      <c r="J85" s="41">
        <f t="shared" ref="J85" si="22">I85*0.5</f>
        <v>0</v>
      </c>
      <c r="K85" s="41">
        <v>0</v>
      </c>
      <c r="L85" s="41">
        <v>0</v>
      </c>
      <c r="M85" s="41">
        <v>0</v>
      </c>
      <c r="N85" s="41">
        <v>0</v>
      </c>
      <c r="O85" s="37">
        <f t="shared" si="20"/>
        <v>0</v>
      </c>
      <c r="Q85" s="65"/>
    </row>
    <row r="86" spans="1:18" x14ac:dyDescent="0.2">
      <c r="A86" s="23">
        <v>6144</v>
      </c>
      <c r="B86" s="23" t="s">
        <v>93</v>
      </c>
      <c r="C86" s="41">
        <f>3864.04</f>
        <v>3864.04</v>
      </c>
      <c r="D86" s="41">
        <f>5645.76</f>
        <v>5645.76</v>
      </c>
      <c r="E86" s="41">
        <f>5861.52+519.12</f>
        <v>6380.64</v>
      </c>
      <c r="F86" s="41">
        <f>6461.76</f>
        <v>6461.76</v>
      </c>
      <c r="G86" s="41">
        <v>5510.34</v>
      </c>
      <c r="I86" s="41">
        <v>5700</v>
      </c>
      <c r="J86" s="41">
        <v>0</v>
      </c>
      <c r="K86" s="41">
        <v>0</v>
      </c>
      <c r="L86" s="41">
        <v>0</v>
      </c>
      <c r="M86" s="41">
        <v>0</v>
      </c>
      <c r="N86" s="41">
        <v>5700</v>
      </c>
      <c r="O86" s="37">
        <f t="shared" si="20"/>
        <v>0</v>
      </c>
      <c r="Q86" s="65"/>
    </row>
    <row r="87" spans="1:18" x14ac:dyDescent="0.2">
      <c r="A87" s="23"/>
      <c r="B87" s="23" t="s">
        <v>63</v>
      </c>
      <c r="C87" s="34">
        <f t="shared" ref="C87:F87" si="23">SUM(C55:C86)</f>
        <v>1394915.6500000004</v>
      </c>
      <c r="D87" s="34">
        <f t="shared" si="23"/>
        <v>1287402.5400000003</v>
      </c>
      <c r="E87" s="34">
        <f t="shared" si="23"/>
        <v>1402999.46</v>
      </c>
      <c r="F87" s="34">
        <f t="shared" si="23"/>
        <v>1294250.3799999999</v>
      </c>
      <c r="G87" s="34">
        <f>SUM(G55:G86)</f>
        <v>1057135.7700000003</v>
      </c>
      <c r="I87" s="34">
        <f>SUM(I55:I86)</f>
        <v>1196109.9349552123</v>
      </c>
      <c r="J87" s="34">
        <f>SUM(J55:J86)</f>
        <v>402765.43403760623</v>
      </c>
      <c r="K87" s="34">
        <f>SUM(K55:K86)</f>
        <v>365302.99744000001</v>
      </c>
      <c r="L87" s="34">
        <f t="shared" ref="L87:M87" si="24">SUM(L55:L86)</f>
        <v>36000</v>
      </c>
      <c r="M87" s="34">
        <f t="shared" si="24"/>
        <v>94807.5</v>
      </c>
      <c r="N87" s="34">
        <f>SUM(N55:N86)</f>
        <v>297234</v>
      </c>
      <c r="O87" s="34">
        <f>SUM(O55:O86)</f>
        <v>3.4776062329910928E-3</v>
      </c>
      <c r="Q87" s="65">
        <v>365303</v>
      </c>
      <c r="R87" s="65">
        <v>402765.43</v>
      </c>
    </row>
    <row r="88" spans="1:18" x14ac:dyDescent="0.2">
      <c r="A88" s="23"/>
      <c r="B88" s="23"/>
      <c r="C88" s="41"/>
      <c r="D88" s="41"/>
      <c r="E88" s="41"/>
      <c r="F88" s="41"/>
      <c r="G88" s="41"/>
      <c r="I88" s="41"/>
      <c r="J88" s="41"/>
      <c r="K88" s="41"/>
      <c r="L88" s="41"/>
      <c r="M88" s="41"/>
      <c r="N88" s="41"/>
      <c r="O88" s="41"/>
      <c r="Q88" s="65">
        <f>Q87-K87</f>
        <v>2.5599999935366213E-3</v>
      </c>
      <c r="R88" s="68">
        <f>R87-J87</f>
        <v>-4.0376062388531864E-3</v>
      </c>
    </row>
    <row r="89" spans="1:18" x14ac:dyDescent="0.2">
      <c r="A89" s="23">
        <v>5110</v>
      </c>
      <c r="B89" s="23" t="s">
        <v>29</v>
      </c>
      <c r="C89" s="41">
        <f>14756.16</f>
        <v>14756.16</v>
      </c>
      <c r="D89" s="41">
        <f>19685.36</f>
        <v>19685.36</v>
      </c>
      <c r="E89" s="41">
        <f>20538.91</f>
        <v>20538.91</v>
      </c>
      <c r="F89" s="41">
        <v>0</v>
      </c>
      <c r="G89" s="41">
        <v>0</v>
      </c>
      <c r="I89" s="41">
        <f>Staffing!G23</f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37">
        <f t="shared" ref="O89:O91" si="25">I89-J89-K89-N89-L89-M89</f>
        <v>0</v>
      </c>
      <c r="Q89" s="65"/>
    </row>
    <row r="90" spans="1:18" x14ac:dyDescent="0.2">
      <c r="A90" s="23">
        <v>5150</v>
      </c>
      <c r="B90" s="23" t="s">
        <v>30</v>
      </c>
      <c r="C90" s="41">
        <f>5142.95+214+39.92+41.27+1947.88</f>
        <v>7386.02</v>
      </c>
      <c r="D90" s="41">
        <f>8964.27+22.72+4.22+206.68</f>
        <v>9197.89</v>
      </c>
      <c r="E90" s="41">
        <f>9918.13</f>
        <v>9918.1299999999992</v>
      </c>
      <c r="F90" s="41">
        <v>0</v>
      </c>
      <c r="G90" s="41">
        <v>0</v>
      </c>
      <c r="I90" s="41">
        <f>I89*0.4922</f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37">
        <f t="shared" si="25"/>
        <v>0</v>
      </c>
      <c r="Q90" s="65"/>
    </row>
    <row r="91" spans="1:18" x14ac:dyDescent="0.2">
      <c r="A91" s="23">
        <v>5199</v>
      </c>
      <c r="B91" s="23" t="s">
        <v>31</v>
      </c>
      <c r="C91" s="41">
        <v>2683.63</v>
      </c>
      <c r="D91" s="41">
        <f>3519.26</f>
        <v>3519.26</v>
      </c>
      <c r="E91" s="41">
        <f>3712.72</f>
        <v>3712.72</v>
      </c>
      <c r="F91" s="41">
        <v>0</v>
      </c>
      <c r="G91" s="41">
        <v>0</v>
      </c>
      <c r="I91" s="41">
        <f>(I89+I90)*0.1255</f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37">
        <f t="shared" si="25"/>
        <v>0</v>
      </c>
      <c r="Q91" s="65"/>
    </row>
    <row r="92" spans="1:18" x14ac:dyDescent="0.2">
      <c r="A92" s="23"/>
      <c r="B92" s="23" t="s">
        <v>64</v>
      </c>
      <c r="C92" s="34">
        <f t="shared" ref="C92:F92" si="26">SUM(C89:C91)</f>
        <v>24825.81</v>
      </c>
      <c r="D92" s="34">
        <f t="shared" si="26"/>
        <v>32402.510000000002</v>
      </c>
      <c r="E92" s="34">
        <f t="shared" si="26"/>
        <v>34169.760000000002</v>
      </c>
      <c r="F92" s="34">
        <f t="shared" si="26"/>
        <v>0</v>
      </c>
      <c r="G92" s="34">
        <f t="shared" ref="G92:O92" si="27">SUM(G89:G91)</f>
        <v>0</v>
      </c>
      <c r="I92" s="34">
        <f t="shared" si="27"/>
        <v>0</v>
      </c>
      <c r="J92" s="34">
        <f t="shared" si="27"/>
        <v>0</v>
      </c>
      <c r="K92" s="34">
        <f t="shared" si="27"/>
        <v>0</v>
      </c>
      <c r="L92" s="34">
        <f t="shared" ref="L92:M92" si="28">SUM(L89:L91)</f>
        <v>0</v>
      </c>
      <c r="M92" s="34">
        <f t="shared" si="28"/>
        <v>0</v>
      </c>
      <c r="N92" s="34">
        <f t="shared" si="27"/>
        <v>0</v>
      </c>
      <c r="O92" s="34">
        <f t="shared" si="27"/>
        <v>0</v>
      </c>
      <c r="Q92" s="65"/>
    </row>
    <row r="93" spans="1:18" x14ac:dyDescent="0.2">
      <c r="A93" s="23"/>
      <c r="B93" s="23"/>
      <c r="C93" s="41"/>
      <c r="D93" s="41"/>
      <c r="E93" s="41"/>
      <c r="F93" s="41"/>
      <c r="G93" s="41"/>
      <c r="I93" s="41"/>
      <c r="J93" s="41"/>
      <c r="K93" s="41"/>
      <c r="L93" s="41"/>
      <c r="M93" s="41"/>
      <c r="N93" s="41"/>
      <c r="O93" s="41"/>
      <c r="Q93" s="65"/>
    </row>
    <row r="94" spans="1:18" x14ac:dyDescent="0.2">
      <c r="A94" s="23">
        <v>5110</v>
      </c>
      <c r="B94" s="23" t="s">
        <v>29</v>
      </c>
      <c r="C94" s="41">
        <v>0</v>
      </c>
      <c r="D94" s="41">
        <v>0</v>
      </c>
      <c r="E94" s="41">
        <v>0</v>
      </c>
      <c r="F94" s="41">
        <v>0</v>
      </c>
      <c r="G94" s="41">
        <v>4149.91</v>
      </c>
      <c r="I94" s="41">
        <f>Staffing!G28</f>
        <v>12487.2</v>
      </c>
      <c r="J94" s="41">
        <f>I94*0.8</f>
        <v>9989.760000000002</v>
      </c>
      <c r="K94" s="41">
        <v>0</v>
      </c>
      <c r="L94" s="41">
        <v>0</v>
      </c>
      <c r="M94" s="41">
        <v>2497.44</v>
      </c>
      <c r="N94" s="41">
        <v>0</v>
      </c>
      <c r="O94" s="37">
        <f t="shared" ref="O94:O102" si="29">I94-J94-K94-N94-L94-M94</f>
        <v>0</v>
      </c>
      <c r="Q94" s="65"/>
    </row>
    <row r="95" spans="1:18" x14ac:dyDescent="0.2">
      <c r="A95" s="23">
        <v>5150</v>
      </c>
      <c r="B95" s="23" t="s">
        <v>30</v>
      </c>
      <c r="C95" s="41">
        <v>0</v>
      </c>
      <c r="D95" s="41">
        <v>0</v>
      </c>
      <c r="E95" s="41">
        <v>0</v>
      </c>
      <c r="F95" s="41">
        <v>0</v>
      </c>
      <c r="G95" s="41">
        <v>2166.2399999999998</v>
      </c>
      <c r="I95" s="41">
        <f>I94*0.4869</f>
        <v>6080.0176799999999</v>
      </c>
      <c r="J95" s="41">
        <f t="shared" ref="J95:J101" si="30">I95*0.8</f>
        <v>4864.0141439999998</v>
      </c>
      <c r="K95" s="41">
        <v>0</v>
      </c>
      <c r="L95" s="41">
        <v>0</v>
      </c>
      <c r="M95" s="41">
        <v>1216</v>
      </c>
      <c r="N95" s="41">
        <v>0</v>
      </c>
      <c r="O95" s="37">
        <f t="shared" si="29"/>
        <v>3.5360000001674052E-3</v>
      </c>
      <c r="Q95" s="65"/>
    </row>
    <row r="96" spans="1:18" x14ac:dyDescent="0.2">
      <c r="A96" s="23">
        <v>5199</v>
      </c>
      <c r="B96" s="23" t="s">
        <v>31</v>
      </c>
      <c r="C96" s="41">
        <v>0</v>
      </c>
      <c r="D96" s="41">
        <v>0</v>
      </c>
      <c r="E96" s="41">
        <v>0</v>
      </c>
      <c r="F96" s="41">
        <v>0</v>
      </c>
      <c r="G96" s="41">
        <v>805.93</v>
      </c>
      <c r="I96" s="41">
        <f>(I94+I95)*0.1482</f>
        <v>2751.6616601760002</v>
      </c>
      <c r="J96" s="41">
        <f t="shared" si="30"/>
        <v>2201.3293281408</v>
      </c>
      <c r="K96" s="41">
        <v>0</v>
      </c>
      <c r="L96" s="41">
        <v>0</v>
      </c>
      <c r="M96" s="41">
        <v>550.33000000000004</v>
      </c>
      <c r="N96" s="41">
        <v>0</v>
      </c>
      <c r="O96" s="37">
        <f t="shared" si="29"/>
        <v>2.3320352000837374E-3</v>
      </c>
      <c r="Q96" s="65"/>
    </row>
    <row r="97" spans="1:19" x14ac:dyDescent="0.2">
      <c r="A97" s="23">
        <v>5361</v>
      </c>
      <c r="B97" s="23" t="s">
        <v>65</v>
      </c>
      <c r="C97" s="41">
        <f>22.55+17819.9</f>
        <v>17842.45</v>
      </c>
      <c r="D97" s="41">
        <f>59116.6+88</f>
        <v>59204.6</v>
      </c>
      <c r="E97" s="41">
        <f>36689.76</f>
        <v>36689.760000000002</v>
      </c>
      <c r="F97" s="41">
        <f>8601.1+2441.82</f>
        <v>11042.92</v>
      </c>
      <c r="G97" s="41">
        <v>18188.72</v>
      </c>
      <c r="I97" s="41">
        <v>30500</v>
      </c>
      <c r="J97" s="41">
        <f t="shared" si="30"/>
        <v>24400</v>
      </c>
      <c r="K97" s="41">
        <v>0</v>
      </c>
      <c r="L97" s="41">
        <v>0</v>
      </c>
      <c r="M97" s="41">
        <v>6100</v>
      </c>
      <c r="N97" s="41">
        <v>0</v>
      </c>
      <c r="O97" s="37">
        <f t="shared" si="29"/>
        <v>0</v>
      </c>
      <c r="Q97" s="65"/>
    </row>
    <row r="98" spans="1:19" x14ac:dyDescent="0.2">
      <c r="A98" s="23">
        <v>5362</v>
      </c>
      <c r="B98" s="23" t="s">
        <v>66</v>
      </c>
      <c r="C98" s="41">
        <f>202.5+151408.9</f>
        <v>151611.4</v>
      </c>
      <c r="D98" s="41">
        <f>164439.31</f>
        <v>164439.31</v>
      </c>
      <c r="E98" s="41">
        <f>127471.78+285</f>
        <v>127756.78</v>
      </c>
      <c r="F98" s="41">
        <f>121880.28+179.5</f>
        <v>122059.78</v>
      </c>
      <c r="G98" s="41">
        <v>52074.5</v>
      </c>
      <c r="I98" s="41">
        <f>93000+1251</f>
        <v>94251</v>
      </c>
      <c r="J98" s="41">
        <f t="shared" si="30"/>
        <v>75400.800000000003</v>
      </c>
      <c r="K98" s="41">
        <v>0</v>
      </c>
      <c r="L98" s="41">
        <v>0</v>
      </c>
      <c r="M98" s="41">
        <v>18850.2</v>
      </c>
      <c r="N98" s="41">
        <v>0</v>
      </c>
      <c r="O98" s="37">
        <f t="shared" si="29"/>
        <v>0</v>
      </c>
      <c r="Q98" s="65"/>
    </row>
    <row r="99" spans="1:19" x14ac:dyDescent="0.2">
      <c r="A99" s="23">
        <v>5712</v>
      </c>
      <c r="B99" s="23" t="s">
        <v>24</v>
      </c>
      <c r="C99" s="41">
        <v>167</v>
      </c>
      <c r="D99" s="41">
        <f>1570.05</f>
        <v>1570.05</v>
      </c>
      <c r="E99" s="41">
        <f>493.42+69.98</f>
        <v>563.4</v>
      </c>
      <c r="F99" s="41">
        <f>29415.41</f>
        <v>29415.41</v>
      </c>
      <c r="G99" s="41">
        <v>32869.82</v>
      </c>
      <c r="I99" s="41">
        <v>35000</v>
      </c>
      <c r="J99" s="41">
        <f t="shared" si="30"/>
        <v>28000</v>
      </c>
      <c r="K99" s="41">
        <v>0</v>
      </c>
      <c r="L99" s="41">
        <v>0</v>
      </c>
      <c r="M99" s="41">
        <v>7000</v>
      </c>
      <c r="N99" s="41">
        <v>0</v>
      </c>
      <c r="O99" s="37">
        <f t="shared" si="29"/>
        <v>0</v>
      </c>
      <c r="Q99" s="65"/>
    </row>
    <row r="100" spans="1:19" x14ac:dyDescent="0.2">
      <c r="A100" s="23">
        <v>5713</v>
      </c>
      <c r="B100" s="2" t="s">
        <v>121</v>
      </c>
      <c r="C100" s="41">
        <v>7647.07</v>
      </c>
      <c r="D100" s="41">
        <f>5644.98+100</f>
        <v>5744.98</v>
      </c>
      <c r="E100" s="41">
        <f>4694.78+62.5</f>
        <v>4757.28</v>
      </c>
      <c r="F100" s="41">
        <f>4852.15</f>
        <v>4852.1499999999996</v>
      </c>
      <c r="G100" s="41">
        <v>3913.92</v>
      </c>
      <c r="I100" s="41">
        <v>5600</v>
      </c>
      <c r="J100" s="41">
        <v>0</v>
      </c>
      <c r="K100" s="41">
        <v>0</v>
      </c>
      <c r="L100" s="41">
        <v>0</v>
      </c>
      <c r="M100" s="41">
        <v>5600</v>
      </c>
      <c r="N100" s="41">
        <v>0</v>
      </c>
      <c r="O100" s="37">
        <f t="shared" si="29"/>
        <v>0</v>
      </c>
      <c r="Q100" s="65"/>
    </row>
    <row r="101" spans="1:19" x14ac:dyDescent="0.2">
      <c r="A101" s="23">
        <v>5732</v>
      </c>
      <c r="B101" s="23" t="s">
        <v>67</v>
      </c>
      <c r="C101" s="41">
        <v>6984.93</v>
      </c>
      <c r="D101" s="41">
        <f>1620</f>
        <v>1620</v>
      </c>
      <c r="E101" s="41">
        <f>2880</f>
        <v>2880</v>
      </c>
      <c r="F101" s="41">
        <f>4860</f>
        <v>4860</v>
      </c>
      <c r="G101" s="41">
        <v>4860</v>
      </c>
      <c r="I101" s="41">
        <v>5000</v>
      </c>
      <c r="J101" s="41">
        <f t="shared" si="30"/>
        <v>4000</v>
      </c>
      <c r="K101" s="41">
        <v>0</v>
      </c>
      <c r="L101" s="41">
        <v>0</v>
      </c>
      <c r="M101" s="41">
        <v>1000</v>
      </c>
      <c r="N101" s="41">
        <v>0</v>
      </c>
      <c r="O101" s="37">
        <f t="shared" si="29"/>
        <v>0</v>
      </c>
      <c r="Q101" s="65"/>
    </row>
    <row r="102" spans="1:19" x14ac:dyDescent="0.2">
      <c r="A102" s="23">
        <v>5733</v>
      </c>
      <c r="B102" s="23" t="s">
        <v>68</v>
      </c>
      <c r="C102" s="41">
        <v>0</v>
      </c>
      <c r="D102" s="41">
        <v>0</v>
      </c>
      <c r="E102" s="41">
        <f>1172.88</f>
        <v>1172.8800000000001</v>
      </c>
      <c r="F102" s="41">
        <f>25</f>
        <v>25</v>
      </c>
      <c r="G102" s="41">
        <v>58.04</v>
      </c>
      <c r="I102" s="41">
        <v>1200</v>
      </c>
      <c r="J102" s="41">
        <v>682.67</v>
      </c>
      <c r="K102" s="41">
        <v>0</v>
      </c>
      <c r="L102" s="41">
        <v>0</v>
      </c>
      <c r="M102" s="41">
        <v>517.33000000000004</v>
      </c>
      <c r="N102" s="41">
        <v>0</v>
      </c>
      <c r="O102" s="37">
        <f t="shared" si="29"/>
        <v>0</v>
      </c>
      <c r="Q102" s="65"/>
    </row>
    <row r="103" spans="1:19" x14ac:dyDescent="0.2">
      <c r="A103" s="23"/>
      <c r="B103" s="23" t="s">
        <v>69</v>
      </c>
      <c r="C103" s="34">
        <f t="shared" ref="C103:F103" si="31">SUM(C94:C102)</f>
        <v>184252.85</v>
      </c>
      <c r="D103" s="34">
        <f t="shared" si="31"/>
        <v>232578.94</v>
      </c>
      <c r="E103" s="34">
        <f t="shared" si="31"/>
        <v>173820.1</v>
      </c>
      <c r="F103" s="34">
        <f t="shared" si="31"/>
        <v>172255.26</v>
      </c>
      <c r="G103" s="34">
        <f t="shared" ref="G103:O103" si="32">SUM(G94:G102)</f>
        <v>119087.07999999999</v>
      </c>
      <c r="I103" s="34">
        <f t="shared" si="32"/>
        <v>192869.879340176</v>
      </c>
      <c r="J103" s="34">
        <f t="shared" si="32"/>
        <v>149538.57347214082</v>
      </c>
      <c r="K103" s="34">
        <f t="shared" si="32"/>
        <v>0</v>
      </c>
      <c r="L103" s="34">
        <f t="shared" ref="L103:M103" si="33">SUM(L94:L102)</f>
        <v>0</v>
      </c>
      <c r="M103" s="34">
        <f t="shared" si="33"/>
        <v>43331.3</v>
      </c>
      <c r="N103" s="34">
        <f t="shared" si="32"/>
        <v>0</v>
      </c>
      <c r="O103" s="34">
        <f t="shared" si="32"/>
        <v>5.8680352002511427E-3</v>
      </c>
      <c r="Q103" s="65"/>
      <c r="R103" s="65">
        <f>149538.57-64600</f>
        <v>84938.57</v>
      </c>
      <c r="S103" s="65">
        <v>64600</v>
      </c>
    </row>
    <row r="104" spans="1:19" x14ac:dyDescent="0.2">
      <c r="A104" s="23"/>
      <c r="B104" s="23"/>
      <c r="C104" s="36"/>
      <c r="D104" s="36"/>
      <c r="E104" s="36"/>
      <c r="F104" s="36"/>
      <c r="G104" s="36"/>
      <c r="I104" s="36"/>
      <c r="J104" s="36"/>
      <c r="K104" s="36"/>
      <c r="L104" s="36"/>
      <c r="M104" s="36"/>
      <c r="N104" s="36"/>
      <c r="O104" s="36"/>
      <c r="Q104" s="65"/>
      <c r="R104" s="68"/>
      <c r="S104" s="114">
        <f>S103+R103-J103</f>
        <v>-3.4721408155746758E-3</v>
      </c>
    </row>
    <row r="105" spans="1:19" x14ac:dyDescent="0.2">
      <c r="A105" s="23">
        <v>5291</v>
      </c>
      <c r="B105" s="23" t="s">
        <v>34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7">
        <f>I105-J105-K105-N105-L105-M105</f>
        <v>0</v>
      </c>
      <c r="Q105" s="65"/>
      <c r="S105" s="68"/>
    </row>
    <row r="106" spans="1:19" x14ac:dyDescent="0.2">
      <c r="A106" s="33"/>
      <c r="B106" s="33" t="s">
        <v>70</v>
      </c>
      <c r="C106" s="34">
        <f t="shared" ref="C106:F106" si="34">SUM(C105)</f>
        <v>0</v>
      </c>
      <c r="D106" s="34">
        <f t="shared" si="34"/>
        <v>0</v>
      </c>
      <c r="E106" s="34">
        <f t="shared" si="34"/>
        <v>0</v>
      </c>
      <c r="F106" s="34">
        <f t="shared" si="34"/>
        <v>0</v>
      </c>
      <c r="G106" s="34">
        <f t="shared" ref="G106:O106" si="35">SUM(G105)</f>
        <v>0</v>
      </c>
      <c r="I106" s="34">
        <f t="shared" si="35"/>
        <v>0</v>
      </c>
      <c r="J106" s="34">
        <f t="shared" si="35"/>
        <v>0</v>
      </c>
      <c r="K106" s="34">
        <f t="shared" si="35"/>
        <v>0</v>
      </c>
      <c r="L106" s="34">
        <f t="shared" ref="L106:M106" si="36">SUM(L105)</f>
        <v>0</v>
      </c>
      <c r="M106" s="34">
        <f t="shared" si="36"/>
        <v>0</v>
      </c>
      <c r="N106" s="34">
        <f t="shared" si="35"/>
        <v>0</v>
      </c>
      <c r="O106" s="34">
        <f t="shared" si="35"/>
        <v>0</v>
      </c>
      <c r="Q106" s="65"/>
    </row>
    <row r="107" spans="1:19" x14ac:dyDescent="0.2">
      <c r="A107" s="33"/>
      <c r="B107" s="33"/>
      <c r="C107" s="36"/>
      <c r="D107" s="36"/>
      <c r="E107" s="36"/>
      <c r="F107" s="36"/>
      <c r="G107" s="36"/>
      <c r="I107" s="36"/>
      <c r="J107" s="36"/>
      <c r="K107" s="36"/>
      <c r="L107" s="36"/>
      <c r="M107" s="36"/>
      <c r="N107" s="36"/>
      <c r="O107" s="36"/>
      <c r="Q107" s="65"/>
    </row>
    <row r="108" spans="1:19" x14ac:dyDescent="0.2">
      <c r="A108" s="23" t="s">
        <v>19</v>
      </c>
      <c r="B108" s="23" t="s">
        <v>71</v>
      </c>
      <c r="C108" s="36">
        <f>4.86+264.73+680.29+750+222.31+112.2</f>
        <v>2034.39</v>
      </c>
      <c r="D108" s="36">
        <f>106.31+550.49+9315+946.99+162.41</f>
        <v>11081.199999999999</v>
      </c>
      <c r="E108" s="36">
        <f>1823.98+292.4</f>
        <v>2116.38</v>
      </c>
      <c r="F108" s="36">
        <f>595.17+0.29</f>
        <v>595.45999999999992</v>
      </c>
      <c r="G108" s="36">
        <v>60.86</v>
      </c>
      <c r="I108" s="36">
        <v>1500</v>
      </c>
      <c r="J108" s="36">
        <v>0</v>
      </c>
      <c r="K108" s="36">
        <v>0</v>
      </c>
      <c r="L108" s="36">
        <v>0</v>
      </c>
      <c r="M108" s="36">
        <v>1500</v>
      </c>
      <c r="N108" s="36">
        <v>0</v>
      </c>
      <c r="O108" s="37">
        <f>I108-J108-K108-N108-L108-M108</f>
        <v>0</v>
      </c>
      <c r="Q108" s="65"/>
    </row>
    <row r="109" spans="1:19" x14ac:dyDescent="0.2">
      <c r="A109" s="33"/>
      <c r="B109" s="33" t="s">
        <v>72</v>
      </c>
      <c r="C109" s="34">
        <f t="shared" ref="C109:F109" si="37">SUM(C108)</f>
        <v>2034.39</v>
      </c>
      <c r="D109" s="34">
        <f t="shared" si="37"/>
        <v>11081.199999999999</v>
      </c>
      <c r="E109" s="34">
        <f t="shared" si="37"/>
        <v>2116.38</v>
      </c>
      <c r="F109" s="34">
        <f t="shared" si="37"/>
        <v>595.45999999999992</v>
      </c>
      <c r="G109" s="34">
        <f t="shared" ref="G109:O109" si="38">SUM(G108)</f>
        <v>60.86</v>
      </c>
      <c r="I109" s="34">
        <f t="shared" si="38"/>
        <v>1500</v>
      </c>
      <c r="J109" s="34">
        <f t="shared" si="38"/>
        <v>0</v>
      </c>
      <c r="K109" s="34">
        <f t="shared" si="38"/>
        <v>0</v>
      </c>
      <c r="L109" s="34">
        <f t="shared" ref="L109:M109" si="39">SUM(L108)</f>
        <v>0</v>
      </c>
      <c r="M109" s="34">
        <f t="shared" si="39"/>
        <v>1500</v>
      </c>
      <c r="N109" s="34">
        <f t="shared" si="38"/>
        <v>0</v>
      </c>
      <c r="O109" s="34">
        <f t="shared" si="38"/>
        <v>0</v>
      </c>
      <c r="Q109" s="65"/>
    </row>
    <row r="110" spans="1:19" x14ac:dyDescent="0.2">
      <c r="A110" s="23"/>
      <c r="B110" s="23"/>
      <c r="C110" s="36"/>
      <c r="D110" s="36"/>
      <c r="E110" s="36"/>
      <c r="F110" s="36"/>
      <c r="G110" s="36"/>
      <c r="I110" s="36"/>
      <c r="J110" s="36"/>
      <c r="K110" s="36"/>
      <c r="L110" s="36"/>
      <c r="M110" s="36"/>
      <c r="N110" s="36"/>
      <c r="O110" s="36"/>
      <c r="Q110" s="65"/>
    </row>
    <row r="111" spans="1:19" ht="12" thickBot="1" x14ac:dyDescent="0.25">
      <c r="A111" s="35"/>
      <c r="B111" s="31" t="s">
        <v>73</v>
      </c>
      <c r="C111" s="32">
        <f>C109+C106+C103+C92+C87+C53+C28+C23</f>
        <v>1785409.8000000003</v>
      </c>
      <c r="D111" s="32">
        <f>D109+D106+D103+D92+D87+D53+D28+D23</f>
        <v>2092837.3000000005</v>
      </c>
      <c r="E111" s="32">
        <f>E109+E106+E103+E92+E87+E53+E28+E23</f>
        <v>1803004.35</v>
      </c>
      <c r="F111" s="32">
        <f>F109+F106+F103+F92+F87+F53+F28+F23</f>
        <v>1735672.4899999998</v>
      </c>
      <c r="G111" s="32">
        <f>G109+G106+G103+G92+G87+G53+G28+G23</f>
        <v>1366596.33</v>
      </c>
      <c r="I111" s="32">
        <f t="shared" ref="I111:O111" si="40">I109+I106+I103+I92+I87+I53+I28+I23</f>
        <v>1596125.9903015804</v>
      </c>
      <c r="J111" s="32">
        <f t="shared" si="40"/>
        <v>619499.00751774712</v>
      </c>
      <c r="K111" s="32">
        <f t="shared" si="40"/>
        <v>429767.99863579043</v>
      </c>
      <c r="L111" s="32">
        <f t="shared" si="40"/>
        <v>36000</v>
      </c>
      <c r="M111" s="32">
        <f t="shared" si="40"/>
        <v>213624.96999999997</v>
      </c>
      <c r="N111" s="32">
        <f t="shared" si="40"/>
        <v>297234</v>
      </c>
      <c r="O111" s="32">
        <f t="shared" si="40"/>
        <v>1.4148043171076097E-2</v>
      </c>
      <c r="Q111" s="65"/>
    </row>
    <row r="112" spans="1:19" x14ac:dyDescent="0.2">
      <c r="A112" s="64"/>
      <c r="B112" s="64"/>
      <c r="C112" s="64"/>
      <c r="D112" s="64"/>
      <c r="E112" s="64"/>
      <c r="F112" s="64"/>
      <c r="G112" s="64"/>
      <c r="I112" s="64"/>
      <c r="J112" s="64"/>
      <c r="K112" s="64"/>
      <c r="L112" s="64"/>
      <c r="M112" s="64"/>
      <c r="N112" s="64"/>
      <c r="O112" s="64"/>
      <c r="Q112" s="65"/>
    </row>
    <row r="113" spans="1:19" ht="12" thickBot="1" x14ac:dyDescent="0.25">
      <c r="A113" s="35"/>
      <c r="B113" s="31" t="s">
        <v>74</v>
      </c>
      <c r="C113" s="32">
        <f>C17-C111</f>
        <v>0</v>
      </c>
      <c r="D113" s="32">
        <f>D17-D111</f>
        <v>0</v>
      </c>
      <c r="E113" s="32">
        <f>E17-E111</f>
        <v>0</v>
      </c>
      <c r="F113" s="32">
        <f>F17-F111</f>
        <v>-6261.019999999553</v>
      </c>
      <c r="G113" s="32">
        <f>G17-G111</f>
        <v>-742.63999999989755</v>
      </c>
      <c r="I113" s="32">
        <f t="shared" ref="I113:O113" si="41">I17-I111</f>
        <v>-3.0158041045069695E-4</v>
      </c>
      <c r="J113" s="32">
        <f t="shared" si="41"/>
        <v>-7.5177471153438091E-3</v>
      </c>
      <c r="K113" s="32">
        <f t="shared" si="41"/>
        <v>1.3642095727846026E-3</v>
      </c>
      <c r="L113" s="32">
        <f t="shared" si="41"/>
        <v>0</v>
      </c>
      <c r="M113" s="32">
        <f t="shared" si="41"/>
        <v>2.0000000018626451E-2</v>
      </c>
      <c r="N113" s="32">
        <f t="shared" si="41"/>
        <v>0</v>
      </c>
      <c r="O113" s="32">
        <f t="shared" si="41"/>
        <v>-1.4148043171076097E-2</v>
      </c>
      <c r="Q113" s="65"/>
    </row>
    <row r="114" spans="1:19" x14ac:dyDescent="0.2">
      <c r="A114" s="64"/>
      <c r="B114" s="64"/>
      <c r="C114" s="64"/>
      <c r="D114" s="64"/>
      <c r="E114" s="64"/>
      <c r="F114" s="64"/>
      <c r="G114" s="64"/>
      <c r="I114" s="64"/>
      <c r="J114" s="64"/>
      <c r="K114" s="64"/>
      <c r="L114" s="64"/>
      <c r="M114" s="64"/>
      <c r="N114" s="64"/>
      <c r="O114" s="64"/>
      <c r="Q114" s="65">
        <f>SUM(Q26:Q113)</f>
        <v>429768.00136420957</v>
      </c>
      <c r="R114" s="65">
        <f t="shared" ref="R114:S114" si="42">SUM(R26:R113)</f>
        <v>554898.99595439376</v>
      </c>
      <c r="S114" s="65">
        <f t="shared" si="42"/>
        <v>64599.996527859184</v>
      </c>
    </row>
    <row r="115" spans="1:19" x14ac:dyDescent="0.2">
      <c r="A115" s="64"/>
      <c r="B115" s="64"/>
      <c r="C115" s="64"/>
      <c r="D115" s="64"/>
      <c r="E115" s="64"/>
      <c r="F115" s="66"/>
      <c r="G115" s="64"/>
      <c r="J115" s="66"/>
      <c r="K115" s="64"/>
      <c r="L115" s="64"/>
      <c r="M115" s="64"/>
      <c r="N115" s="64"/>
      <c r="O115" s="64"/>
      <c r="Q115" s="97">
        <f>I6</f>
        <v>429768</v>
      </c>
      <c r="R115" s="98">
        <f>I4</f>
        <v>554899</v>
      </c>
      <c r="S115" s="98">
        <f>I5</f>
        <v>64600</v>
      </c>
    </row>
    <row r="116" spans="1:19" x14ac:dyDescent="0.2">
      <c r="F116" s="64"/>
      <c r="G116" s="64"/>
      <c r="I116" s="66"/>
      <c r="J116" s="64"/>
      <c r="K116" s="64"/>
      <c r="L116" s="64"/>
      <c r="M116" s="64"/>
      <c r="N116" s="64"/>
      <c r="O116" s="64"/>
      <c r="Q116" s="65">
        <f>Q115-Q114</f>
        <v>-1.3642095727846026E-3</v>
      </c>
      <c r="R116" s="65">
        <f t="shared" ref="R116:S116" si="43">R115-R114</f>
        <v>4.0456062415614724E-3</v>
      </c>
      <c r="S116" s="65">
        <f t="shared" si="43"/>
        <v>3.4721408155746758E-3</v>
      </c>
    </row>
    <row r="117" spans="1:19" x14ac:dyDescent="0.2">
      <c r="F117" s="64"/>
      <c r="G117" s="64"/>
      <c r="I117" s="66"/>
      <c r="J117" s="64"/>
      <c r="K117" s="64"/>
      <c r="L117" s="64"/>
      <c r="M117" s="64"/>
      <c r="N117" s="64"/>
      <c r="O117" s="64"/>
      <c r="Q117" s="65"/>
      <c r="R117" s="68"/>
    </row>
    <row r="118" spans="1:19" x14ac:dyDescent="0.2">
      <c r="F118" s="64"/>
      <c r="G118" s="64"/>
      <c r="I118" s="64"/>
      <c r="J118" s="64"/>
      <c r="K118" s="64"/>
      <c r="L118" s="64"/>
      <c r="M118" s="64"/>
      <c r="N118" s="64"/>
      <c r="O118" s="64"/>
      <c r="Q118" s="65"/>
    </row>
    <row r="119" spans="1:19" x14ac:dyDescent="0.2">
      <c r="F119" s="64"/>
      <c r="G119" s="64"/>
      <c r="I119" s="64"/>
      <c r="J119" s="64"/>
      <c r="K119" s="64"/>
      <c r="L119" s="64"/>
      <c r="M119" s="64"/>
      <c r="N119" s="64"/>
      <c r="O119" s="64"/>
      <c r="Q119" s="65"/>
    </row>
    <row r="120" spans="1:19" x14ac:dyDescent="0.2">
      <c r="F120" s="64"/>
      <c r="G120" s="64"/>
      <c r="I120" s="64"/>
      <c r="J120" s="64"/>
      <c r="K120" s="64"/>
      <c r="L120" s="64"/>
      <c r="M120" s="64"/>
      <c r="N120" s="64"/>
      <c r="O120" s="64"/>
      <c r="Q120" s="65"/>
    </row>
    <row r="121" spans="1:19" x14ac:dyDescent="0.2">
      <c r="F121" s="64"/>
      <c r="G121" s="64"/>
      <c r="I121" s="64"/>
      <c r="J121" s="64"/>
      <c r="K121" s="64"/>
      <c r="L121" s="64"/>
      <c r="M121" s="64"/>
      <c r="N121" s="64"/>
      <c r="O121" s="64"/>
      <c r="Q121" s="65"/>
    </row>
    <row r="122" spans="1:19" x14ac:dyDescent="0.2">
      <c r="F122" s="64"/>
      <c r="G122" s="64"/>
      <c r="I122" s="64"/>
      <c r="J122" s="64"/>
      <c r="K122" s="64"/>
      <c r="L122" s="64"/>
      <c r="M122" s="64"/>
      <c r="N122" s="64"/>
      <c r="O122" s="64"/>
      <c r="Q122" s="65"/>
    </row>
    <row r="123" spans="1:19" x14ac:dyDescent="0.2">
      <c r="F123" s="64"/>
      <c r="G123" s="64"/>
      <c r="I123" s="64"/>
      <c r="J123" s="64"/>
      <c r="K123" s="64"/>
      <c r="L123" s="64"/>
      <c r="M123" s="64"/>
      <c r="N123" s="64"/>
      <c r="O123" s="64"/>
      <c r="Q123" s="65"/>
    </row>
    <row r="124" spans="1:19" x14ac:dyDescent="0.2">
      <c r="F124" s="64"/>
      <c r="G124" s="64"/>
      <c r="I124" s="64"/>
      <c r="J124" s="64"/>
      <c r="K124" s="64"/>
      <c r="L124" s="64"/>
      <c r="M124" s="64"/>
      <c r="N124" s="64"/>
      <c r="O124" s="64"/>
      <c r="Q124" s="65"/>
    </row>
    <row r="125" spans="1:19" x14ac:dyDescent="0.2">
      <c r="F125" s="64"/>
      <c r="G125" s="64"/>
      <c r="I125" s="64"/>
      <c r="J125" s="64"/>
      <c r="K125" s="64"/>
      <c r="L125" s="64"/>
      <c r="M125" s="64"/>
      <c r="N125" s="64"/>
      <c r="O125" s="64"/>
    </row>
    <row r="126" spans="1:19" x14ac:dyDescent="0.2">
      <c r="F126" s="64"/>
      <c r="G126" s="64"/>
      <c r="I126" s="64"/>
      <c r="J126" s="64"/>
      <c r="K126" s="64"/>
      <c r="L126" s="64"/>
      <c r="M126" s="64"/>
      <c r="N126" s="64"/>
      <c r="O126" s="64"/>
    </row>
    <row r="127" spans="1:19" x14ac:dyDescent="0.2">
      <c r="F127" s="64"/>
      <c r="G127" s="64"/>
      <c r="I127" s="64"/>
      <c r="J127" s="64"/>
      <c r="K127" s="64"/>
      <c r="L127" s="64"/>
      <c r="M127" s="64"/>
      <c r="N127" s="64"/>
      <c r="O127" s="64"/>
    </row>
    <row r="128" spans="1:19" x14ac:dyDescent="0.2">
      <c r="F128" s="64"/>
      <c r="G128" s="64"/>
      <c r="I128" s="64"/>
      <c r="J128" s="64"/>
      <c r="K128" s="64"/>
      <c r="L128" s="64"/>
      <c r="M128" s="64"/>
      <c r="N128" s="64"/>
      <c r="O128" s="64"/>
    </row>
  </sheetData>
  <pageMargins left="0.7" right="0.7" top="0.75" bottom="0.75" header="0.3" footer="0.3"/>
  <pageSetup paperSize="17" scale="86" orientation="landscape" r:id="rId1"/>
  <rowBreaks count="1" manualBreakCount="1">
    <brk id="54" max="18" man="1"/>
  </rowBreaks>
  <colBreaks count="1" manualBreakCount="1">
    <brk id="1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ColWidth="8.85546875" defaultRowHeight="11.25" x14ac:dyDescent="0.2"/>
  <cols>
    <col min="1" max="1" width="27" style="63" customWidth="1"/>
    <col min="2" max="4" width="11.7109375" style="63" bestFit="1" customWidth="1"/>
    <col min="5" max="5" width="11.5703125" style="63" bestFit="1" customWidth="1"/>
    <col min="6" max="6" width="11.28515625" style="63" bestFit="1" customWidth="1"/>
    <col min="7" max="7" width="3.7109375" style="63" customWidth="1"/>
    <col min="8" max="8" width="12.42578125" style="63" bestFit="1" customWidth="1"/>
    <col min="9" max="9" width="13.28515625" style="63" customWidth="1"/>
    <col min="10" max="10" width="9" style="63" bestFit="1" customWidth="1"/>
    <col min="11" max="11" width="8.85546875" style="63"/>
    <col min="12" max="14" width="9" style="63" bestFit="1" customWidth="1"/>
    <col min="15" max="16384" width="8.85546875" style="63"/>
  </cols>
  <sheetData>
    <row r="1" spans="1:14" x14ac:dyDescent="0.2">
      <c r="A1" s="6" t="s">
        <v>102</v>
      </c>
      <c r="B1" s="5" t="s">
        <v>1</v>
      </c>
      <c r="C1" s="5" t="s">
        <v>2</v>
      </c>
      <c r="D1" s="5" t="s">
        <v>3</v>
      </c>
      <c r="E1" s="16" t="s">
        <v>75</v>
      </c>
      <c r="F1" s="16" t="s">
        <v>95</v>
      </c>
      <c r="H1" s="16" t="s">
        <v>96</v>
      </c>
      <c r="I1" s="129" t="s">
        <v>96</v>
      </c>
    </row>
    <row r="2" spans="1:14" ht="13.5" x14ac:dyDescent="0.35">
      <c r="A2" s="24"/>
      <c r="B2" s="10" t="s">
        <v>4</v>
      </c>
      <c r="C2" s="10" t="s">
        <v>4</v>
      </c>
      <c r="D2" s="10" t="s">
        <v>4</v>
      </c>
      <c r="E2" s="17" t="s">
        <v>4</v>
      </c>
      <c r="F2" s="17" t="s">
        <v>4</v>
      </c>
      <c r="H2" s="17" t="s">
        <v>270</v>
      </c>
      <c r="I2" s="130" t="s">
        <v>311</v>
      </c>
      <c r="J2" s="17" t="s">
        <v>101</v>
      </c>
    </row>
    <row r="3" spans="1:14" x14ac:dyDescent="0.2">
      <c r="A3" s="11" t="s">
        <v>5</v>
      </c>
      <c r="B3" s="12"/>
      <c r="C3" s="12"/>
      <c r="D3" s="12"/>
      <c r="E3" s="18"/>
      <c r="F3" s="18"/>
      <c r="H3" s="18"/>
      <c r="I3" s="131"/>
    </row>
    <row r="4" spans="1:14" x14ac:dyDescent="0.2">
      <c r="A4" s="9" t="s">
        <v>8</v>
      </c>
      <c r="B4" s="12">
        <v>42784.74</v>
      </c>
      <c r="C4" s="18">
        <v>52739.63</v>
      </c>
      <c r="D4" s="18">
        <f>41269.28+4883.04</f>
        <v>46152.32</v>
      </c>
      <c r="E4" s="18">
        <f>48529.46+2269.08</f>
        <v>50798.54</v>
      </c>
      <c r="F4" s="18">
        <v>52385.93</v>
      </c>
      <c r="H4" s="18">
        <v>76760</v>
      </c>
      <c r="I4" s="131">
        <v>76760</v>
      </c>
      <c r="J4" s="18">
        <f>I4-H4</f>
        <v>0</v>
      </c>
    </row>
    <row r="5" spans="1:14" x14ac:dyDescent="0.2">
      <c r="A5" s="9" t="s">
        <v>103</v>
      </c>
      <c r="B5" s="18">
        <v>1636.11</v>
      </c>
      <c r="C5" s="18">
        <v>0</v>
      </c>
      <c r="D5" s="18">
        <v>0</v>
      </c>
      <c r="E5" s="18">
        <v>0</v>
      </c>
      <c r="F5" s="18">
        <v>423.79</v>
      </c>
      <c r="H5" s="18">
        <v>0</v>
      </c>
      <c r="I5" s="131">
        <v>0</v>
      </c>
      <c r="J5" s="18">
        <f>I5-H5</f>
        <v>0</v>
      </c>
    </row>
    <row r="6" spans="1:14" x14ac:dyDescent="0.2">
      <c r="A6" s="9" t="s">
        <v>104</v>
      </c>
      <c r="B6" s="18">
        <v>0</v>
      </c>
      <c r="C6" s="18">
        <v>123.45</v>
      </c>
      <c r="D6" s="18">
        <v>55.75</v>
      </c>
      <c r="E6" s="18">
        <v>0</v>
      </c>
      <c r="F6" s="18">
        <v>553.45000000000005</v>
      </c>
      <c r="H6" s="18">
        <v>0</v>
      </c>
      <c r="I6" s="131">
        <v>0</v>
      </c>
      <c r="J6" s="18">
        <f>I6-H6</f>
        <v>0</v>
      </c>
    </row>
    <row r="7" spans="1:14" ht="12" thickBot="1" x14ac:dyDescent="0.25">
      <c r="A7" s="1" t="s">
        <v>20</v>
      </c>
      <c r="B7" s="14">
        <f>SUM(B4:B6)</f>
        <v>44420.85</v>
      </c>
      <c r="C7" s="14">
        <f t="shared" ref="C7" si="0">SUM(C4:C6)</f>
        <v>52863.079999999994</v>
      </c>
      <c r="D7" s="14">
        <f t="shared" ref="D7" si="1">SUM(D4:D6)</f>
        <v>46208.07</v>
      </c>
      <c r="E7" s="14">
        <f t="shared" ref="E7" si="2">SUM(E4:E6)</f>
        <v>50798.54</v>
      </c>
      <c r="F7" s="14">
        <f t="shared" ref="F7" si="3">SUM(F4:F6)</f>
        <v>53363.17</v>
      </c>
      <c r="H7" s="14">
        <f t="shared" ref="H7" si="4">SUM(H4:H6)</f>
        <v>76760</v>
      </c>
      <c r="I7" s="132">
        <f>SUM(I4:I6)</f>
        <v>76760</v>
      </c>
      <c r="J7" s="14">
        <f t="shared" ref="J7" si="5">SUM(J4:J6)</f>
        <v>0</v>
      </c>
    </row>
    <row r="8" spans="1:14" x14ac:dyDescent="0.2">
      <c r="I8" s="126"/>
    </row>
    <row r="9" spans="1:14" x14ac:dyDescent="0.2">
      <c r="A9" s="11" t="s">
        <v>21</v>
      </c>
      <c r="I9" s="126"/>
      <c r="L9" s="128" t="s">
        <v>173</v>
      </c>
      <c r="M9" s="128" t="s">
        <v>308</v>
      </c>
      <c r="N9" s="128" t="s">
        <v>309</v>
      </c>
    </row>
    <row r="10" spans="1:14" x14ac:dyDescent="0.2">
      <c r="A10" s="2" t="s">
        <v>29</v>
      </c>
      <c r="B10" s="5">
        <v>24857.78</v>
      </c>
      <c r="C10" s="16">
        <v>28081.119999999999</v>
      </c>
      <c r="D10" s="16">
        <f>23291.63</f>
        <v>23291.63</v>
      </c>
      <c r="E10" s="16">
        <f>31810.46+1114.57</f>
        <v>32925.03</v>
      </c>
      <c r="F10" s="16">
        <v>25607.919999999998</v>
      </c>
      <c r="H10" s="16">
        <v>31000</v>
      </c>
      <c r="I10" s="129">
        <f>Staffing!H23</f>
        <v>30999.973800000003</v>
      </c>
      <c r="J10" s="18">
        <f t="shared" ref="J10:J22" si="6">I10-H10</f>
        <v>-2.6199999996606493E-2</v>
      </c>
      <c r="L10" s="126">
        <v>2908.85</v>
      </c>
      <c r="M10" s="126">
        <v>15.35</v>
      </c>
      <c r="N10" s="127">
        <f>L10/M10</f>
        <v>189.50162866449512</v>
      </c>
    </row>
    <row r="11" spans="1:14" x14ac:dyDescent="0.2">
      <c r="A11" s="2" t="s">
        <v>30</v>
      </c>
      <c r="B11" s="5">
        <f>8949.26+322.96+60.1+71.57+2940.6</f>
        <v>12344.49</v>
      </c>
      <c r="C11" s="16">
        <f>12733.71+39.1+7.28+355.98</f>
        <v>13136.07</v>
      </c>
      <c r="D11" s="16">
        <f>11561.31</f>
        <v>11561.31</v>
      </c>
      <c r="E11" s="16">
        <f>15747.9+542.24</f>
        <v>16290.14</v>
      </c>
      <c r="F11" s="16">
        <v>12018.82</v>
      </c>
      <c r="H11" s="16">
        <v>16120</v>
      </c>
      <c r="I11" s="129">
        <f>I10*0.4869</f>
        <v>15093.887243220002</v>
      </c>
      <c r="J11" s="18">
        <f t="shared" si="6"/>
        <v>-1026.1127567799977</v>
      </c>
    </row>
    <row r="12" spans="1:14" x14ac:dyDescent="0.2">
      <c r="A12" s="2" t="s">
        <v>31</v>
      </c>
      <c r="B12" s="5">
        <v>4746.3599999999997</v>
      </c>
      <c r="C12" s="16">
        <v>5021.55</v>
      </c>
      <c r="D12" s="16">
        <f>3990.64</f>
        <v>3990.64</v>
      </c>
      <c r="E12" s="16">
        <f>6067.26+201.96</f>
        <v>6269.22</v>
      </c>
      <c r="F12" s="16">
        <v>4471.53</v>
      </c>
      <c r="H12" s="16">
        <v>6125.6</v>
      </c>
      <c r="I12" s="129">
        <f>(I10+I11)*0.1482</f>
        <v>6831.1102066052053</v>
      </c>
      <c r="J12" s="18">
        <f t="shared" si="6"/>
        <v>705.51020660520498</v>
      </c>
    </row>
    <row r="13" spans="1:14" x14ac:dyDescent="0.2">
      <c r="A13" s="2" t="s">
        <v>272</v>
      </c>
      <c r="B13" s="5">
        <v>0</v>
      </c>
      <c r="C13" s="16">
        <v>0</v>
      </c>
      <c r="D13" s="16">
        <v>0</v>
      </c>
      <c r="E13" s="16">
        <v>0</v>
      </c>
      <c r="F13" s="16">
        <v>0</v>
      </c>
      <c r="H13" s="16">
        <v>12402</v>
      </c>
      <c r="I13" s="129">
        <v>12402</v>
      </c>
      <c r="J13" s="18">
        <f t="shared" si="6"/>
        <v>0</v>
      </c>
    </row>
    <row r="14" spans="1:14" x14ac:dyDescent="0.2">
      <c r="A14" s="2" t="s">
        <v>107</v>
      </c>
      <c r="B14" s="5">
        <v>0</v>
      </c>
      <c r="C14" s="5">
        <v>0</v>
      </c>
      <c r="D14" s="5">
        <v>55.7</v>
      </c>
      <c r="E14" s="5">
        <v>0</v>
      </c>
      <c r="F14" s="5">
        <v>0</v>
      </c>
      <c r="H14" s="16">
        <f>1522+255</f>
        <v>1777</v>
      </c>
      <c r="I14" s="129">
        <v>1777</v>
      </c>
      <c r="J14" s="18">
        <f t="shared" si="6"/>
        <v>0</v>
      </c>
    </row>
    <row r="15" spans="1:14" x14ac:dyDescent="0.2">
      <c r="A15" s="2" t="s">
        <v>108</v>
      </c>
      <c r="B15" s="5">
        <v>2040.6</v>
      </c>
      <c r="C15" s="16">
        <v>3478.73</v>
      </c>
      <c r="D15" s="16">
        <f>950.11</f>
        <v>950.11</v>
      </c>
      <c r="E15" s="16">
        <v>0</v>
      </c>
      <c r="F15" s="16">
        <v>4888.12</v>
      </c>
      <c r="H15" s="16">
        <v>6000</v>
      </c>
      <c r="I15" s="129">
        <v>6000</v>
      </c>
      <c r="J15" s="18">
        <f t="shared" si="6"/>
        <v>0</v>
      </c>
    </row>
    <row r="16" spans="1:14" x14ac:dyDescent="0.2">
      <c r="A16" s="2" t="s">
        <v>109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H16" s="5">
        <v>0</v>
      </c>
      <c r="I16" s="133">
        <v>0</v>
      </c>
      <c r="J16" s="18">
        <f t="shared" si="6"/>
        <v>0</v>
      </c>
    </row>
    <row r="17" spans="1:10" x14ac:dyDescent="0.2">
      <c r="A17" s="2" t="s">
        <v>37</v>
      </c>
      <c r="B17" s="5">
        <v>158.13</v>
      </c>
      <c r="C17" s="16">
        <v>442.66</v>
      </c>
      <c r="D17" s="16">
        <f>1475.59+2826.8</f>
        <v>4302.3900000000003</v>
      </c>
      <c r="E17" s="16">
        <f>202.38+410.31</f>
        <v>612.69000000000005</v>
      </c>
      <c r="F17" s="16">
        <v>3924.63</v>
      </c>
      <c r="H17" s="16">
        <v>335</v>
      </c>
      <c r="I17" s="129">
        <f>335+320.63</f>
        <v>655.63</v>
      </c>
      <c r="J17" s="18">
        <f t="shared" si="6"/>
        <v>320.63</v>
      </c>
    </row>
    <row r="18" spans="1:10" x14ac:dyDescent="0.2">
      <c r="A18" s="2" t="s">
        <v>41</v>
      </c>
      <c r="B18" s="5">
        <v>34</v>
      </c>
      <c r="C18" s="5">
        <v>0</v>
      </c>
      <c r="D18" s="5">
        <v>0</v>
      </c>
      <c r="E18" s="5">
        <v>0</v>
      </c>
      <c r="F18" s="5">
        <v>0</v>
      </c>
      <c r="H18" s="5">
        <v>0</v>
      </c>
      <c r="I18" s="133">
        <v>0</v>
      </c>
      <c r="J18" s="18">
        <f t="shared" si="6"/>
        <v>0</v>
      </c>
    </row>
    <row r="19" spans="1:10" x14ac:dyDescent="0.2">
      <c r="A19" s="2" t="s">
        <v>111</v>
      </c>
      <c r="B19" s="5">
        <v>219.67</v>
      </c>
      <c r="C19" s="5">
        <v>0</v>
      </c>
      <c r="D19" s="5">
        <v>0</v>
      </c>
      <c r="E19" s="5">
        <v>0</v>
      </c>
      <c r="F19" s="5">
        <v>0</v>
      </c>
      <c r="H19" s="5">
        <v>0</v>
      </c>
      <c r="I19" s="133">
        <v>0</v>
      </c>
      <c r="J19" s="18">
        <f t="shared" si="6"/>
        <v>0</v>
      </c>
    </row>
    <row r="20" spans="1:10" x14ac:dyDescent="0.2">
      <c r="A20" s="2" t="s">
        <v>58</v>
      </c>
      <c r="B20" s="5">
        <v>0</v>
      </c>
      <c r="C20" s="5">
        <v>0</v>
      </c>
      <c r="D20" s="5">
        <v>0</v>
      </c>
      <c r="E20" s="5">
        <v>0</v>
      </c>
      <c r="F20" s="5">
        <v>350</v>
      </c>
      <c r="H20" s="5">
        <v>0</v>
      </c>
      <c r="I20" s="133">
        <v>0</v>
      </c>
      <c r="J20" s="18">
        <f t="shared" si="6"/>
        <v>0</v>
      </c>
    </row>
    <row r="21" spans="1:10" x14ac:dyDescent="0.2">
      <c r="A21" s="2" t="s">
        <v>271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H21" s="5">
        <v>3000</v>
      </c>
      <c r="I21" s="133">
        <v>3000</v>
      </c>
      <c r="J21" s="18">
        <f t="shared" si="6"/>
        <v>0</v>
      </c>
    </row>
    <row r="22" spans="1:10" x14ac:dyDescent="0.2">
      <c r="A22" s="2" t="s">
        <v>110</v>
      </c>
      <c r="B22" s="5">
        <v>0</v>
      </c>
      <c r="C22" s="16">
        <v>2679.08</v>
      </c>
      <c r="D22" s="16">
        <v>2056.29</v>
      </c>
      <c r="E22" s="16">
        <v>0</v>
      </c>
      <c r="F22" s="16">
        <v>2102.15</v>
      </c>
      <c r="H22" s="16">
        <v>0</v>
      </c>
      <c r="I22" s="129">
        <v>0</v>
      </c>
      <c r="J22" s="18">
        <f t="shared" si="6"/>
        <v>0</v>
      </c>
    </row>
    <row r="23" spans="1:10" x14ac:dyDescent="0.2">
      <c r="A23" s="2" t="s">
        <v>64</v>
      </c>
      <c r="B23" s="15">
        <f>SUM(B10:B22)</f>
        <v>44401.029999999992</v>
      </c>
      <c r="C23" s="15">
        <f>SUM(C10:C22)</f>
        <v>52839.210000000014</v>
      </c>
      <c r="D23" s="15">
        <f>SUM(D10:D22)</f>
        <v>46208.07</v>
      </c>
      <c r="E23" s="15">
        <f>SUM(E10:E22)</f>
        <v>56097.08</v>
      </c>
      <c r="F23" s="15">
        <f>SUM(F10:F22)</f>
        <v>53363.17</v>
      </c>
      <c r="H23" s="15">
        <f>SUM(H10:H22)</f>
        <v>76759.600000000006</v>
      </c>
      <c r="I23" s="134">
        <f>SUM(I10:I22)</f>
        <v>76759.601249825209</v>
      </c>
      <c r="J23" s="15">
        <f>SUM(J10:J22)</f>
        <v>1.2498252107207009E-3</v>
      </c>
    </row>
    <row r="24" spans="1:10" x14ac:dyDescent="0.2">
      <c r="I24" s="126"/>
    </row>
    <row r="25" spans="1:10" x14ac:dyDescent="0.2">
      <c r="A25" s="23" t="s">
        <v>71</v>
      </c>
      <c r="B25" s="36">
        <v>19.82</v>
      </c>
      <c r="C25" s="36">
        <v>23.87</v>
      </c>
      <c r="D25" s="36">
        <v>0</v>
      </c>
      <c r="E25" s="36">
        <v>0</v>
      </c>
      <c r="F25" s="36">
        <v>0</v>
      </c>
      <c r="H25" s="36">
        <v>0</v>
      </c>
      <c r="I25" s="135">
        <v>0</v>
      </c>
      <c r="J25" s="18">
        <f>I25-H25</f>
        <v>0</v>
      </c>
    </row>
    <row r="26" spans="1:10" x14ac:dyDescent="0.2">
      <c r="A26" s="33" t="s">
        <v>72</v>
      </c>
      <c r="B26" s="34">
        <f t="shared" ref="B26:J26" si="7">SUM(B25)</f>
        <v>19.82</v>
      </c>
      <c r="C26" s="34">
        <f t="shared" ref="C26" si="8">SUM(C25)</f>
        <v>23.87</v>
      </c>
      <c r="D26" s="34">
        <f t="shared" ref="D26" si="9">SUM(D25)</f>
        <v>0</v>
      </c>
      <c r="E26" s="34">
        <f t="shared" ref="E26" si="10">SUM(E25)</f>
        <v>0</v>
      </c>
      <c r="F26" s="34">
        <f t="shared" si="7"/>
        <v>0</v>
      </c>
      <c r="H26" s="34">
        <f t="shared" si="7"/>
        <v>0</v>
      </c>
      <c r="I26" s="136">
        <f>SUM(I25)</f>
        <v>0</v>
      </c>
      <c r="J26" s="34">
        <f t="shared" si="7"/>
        <v>0</v>
      </c>
    </row>
    <row r="27" spans="1:10" x14ac:dyDescent="0.2">
      <c r="I27" s="126"/>
    </row>
    <row r="28" spans="1:10" ht="12" thickBot="1" x14ac:dyDescent="0.25">
      <c r="A28" s="1" t="s">
        <v>73</v>
      </c>
      <c r="B28" s="14">
        <f>B23+B26</f>
        <v>44420.849999999991</v>
      </c>
      <c r="C28" s="14">
        <f t="shared" ref="C28" si="11">C23+C26</f>
        <v>52863.080000000016</v>
      </c>
      <c r="D28" s="14">
        <f t="shared" ref="D28" si="12">D23+D26</f>
        <v>46208.07</v>
      </c>
      <c r="E28" s="14">
        <f t="shared" ref="E28" si="13">E23+E26</f>
        <v>56097.08</v>
      </c>
      <c r="F28" s="14">
        <f t="shared" ref="F28:J28" si="14">F23+F26</f>
        <v>53363.17</v>
      </c>
      <c r="H28" s="14">
        <f t="shared" si="14"/>
        <v>76759.600000000006</v>
      </c>
      <c r="I28" s="132">
        <f>I23+I26</f>
        <v>76759.601249825209</v>
      </c>
      <c r="J28" s="14">
        <f t="shared" si="14"/>
        <v>1.2498252107207009E-3</v>
      </c>
    </row>
    <row r="29" spans="1:10" x14ac:dyDescent="0.2">
      <c r="A29" s="64"/>
      <c r="B29" s="64"/>
      <c r="C29" s="16"/>
      <c r="D29" s="16"/>
      <c r="E29" s="16"/>
      <c r="F29" s="16"/>
      <c r="H29" s="16"/>
      <c r="I29" s="129"/>
    </row>
    <row r="30" spans="1:10" ht="12" thickBot="1" x14ac:dyDescent="0.25">
      <c r="A30" s="1" t="s">
        <v>74</v>
      </c>
      <c r="B30" s="14">
        <f>B7-B28</f>
        <v>0</v>
      </c>
      <c r="C30" s="14">
        <f>C7-C28</f>
        <v>0</v>
      </c>
      <c r="D30" s="14">
        <f>D7-D28</f>
        <v>0</v>
      </c>
      <c r="E30" s="14">
        <f>E7-E28</f>
        <v>-5298.5400000000009</v>
      </c>
      <c r="F30" s="14">
        <f>F7-F28</f>
        <v>0</v>
      </c>
      <c r="H30" s="14">
        <f>H7-H28</f>
        <v>0.39999999999417923</v>
      </c>
      <c r="I30" s="132">
        <f>I7-I28</f>
        <v>0.3987501747906208</v>
      </c>
      <c r="J30" s="14">
        <f>J7-J28</f>
        <v>-1.2498252107207009E-3</v>
      </c>
    </row>
    <row r="31" spans="1:10" x14ac:dyDescent="0.2">
      <c r="I31" s="126"/>
    </row>
    <row r="32" spans="1:10" x14ac:dyDescent="0.2">
      <c r="A32" s="125" t="s">
        <v>312</v>
      </c>
      <c r="B32" s="124">
        <f t="shared" ref="B32:F32" si="15">B12/B28</f>
        <v>0.10684982390026307</v>
      </c>
      <c r="C32" s="124">
        <f t="shared" si="15"/>
        <v>9.499162742693007E-2</v>
      </c>
      <c r="D32" s="124">
        <f t="shared" si="15"/>
        <v>8.6362403796566262E-2</v>
      </c>
      <c r="E32" s="124">
        <f t="shared" si="15"/>
        <v>0.11175661906109909</v>
      </c>
      <c r="F32" s="124">
        <f t="shared" si="15"/>
        <v>8.379430982079962E-2</v>
      </c>
      <c r="H32" s="124">
        <f>H12/H28</f>
        <v>7.98023960520899E-2</v>
      </c>
      <c r="I32" s="137">
        <f>I12/I28</f>
        <v>8.8993560354389684E-2</v>
      </c>
    </row>
  </sheetData>
  <pageMargins left="0.7" right="0.7" top="0.75" bottom="0.75" header="0.3" footer="0.3"/>
  <pageSetup paperSize="1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workbookViewId="0">
      <pane xSplit="4" ySplit="4" topLeftCell="E50" activePane="bottomRight" state="frozen"/>
      <selection pane="topRight" activeCell="E1" sqref="E1"/>
      <selection pane="bottomLeft" activeCell="A5" sqref="A5"/>
      <selection pane="bottomRight" activeCell="F62" sqref="F62"/>
    </sheetView>
  </sheetViews>
  <sheetFormatPr defaultRowHeight="15" x14ac:dyDescent="0.25"/>
  <cols>
    <col min="1" max="1" width="39.28515625" bestFit="1" customWidth="1"/>
    <col min="2" max="2" width="11.5703125" bestFit="1" customWidth="1"/>
    <col min="3" max="3" width="13.5703125" bestFit="1" customWidth="1"/>
    <col min="4" max="4" width="13.5703125" customWidth="1"/>
    <col min="5" max="7" width="13.28515625" bestFit="1" customWidth="1"/>
    <col min="8" max="8" width="10.5703125" bestFit="1" customWidth="1"/>
    <col min="9" max="9" width="13.28515625" bestFit="1" customWidth="1"/>
    <col min="10" max="10" width="10.140625" bestFit="1" customWidth="1"/>
    <col min="11" max="11" width="22.5703125" customWidth="1"/>
    <col min="13" max="13" width="10.5703125" bestFit="1" customWidth="1"/>
  </cols>
  <sheetData>
    <row r="1" spans="1:13" x14ac:dyDescent="0.25">
      <c r="A1" t="s">
        <v>135</v>
      </c>
    </row>
    <row r="2" spans="1:13" x14ac:dyDescent="0.25">
      <c r="A2" t="s">
        <v>144</v>
      </c>
    </row>
    <row r="3" spans="1:13" s="48" customFormat="1" x14ac:dyDescent="0.25">
      <c r="E3" s="48" t="s">
        <v>136</v>
      </c>
      <c r="F3" s="48" t="s">
        <v>137</v>
      </c>
      <c r="G3" s="48" t="s">
        <v>138</v>
      </c>
      <c r="H3" s="48" t="s">
        <v>164</v>
      </c>
      <c r="I3" s="48" t="s">
        <v>139</v>
      </c>
    </row>
    <row r="4" spans="1:13" s="48" customFormat="1" x14ac:dyDescent="0.25">
      <c r="A4" s="49" t="s">
        <v>140</v>
      </c>
      <c r="B4" s="55" t="s">
        <v>266</v>
      </c>
      <c r="C4" s="55" t="s">
        <v>267</v>
      </c>
      <c r="D4" s="58" t="s">
        <v>268</v>
      </c>
      <c r="E4" s="49" t="s">
        <v>141</v>
      </c>
      <c r="F4" s="49" t="s">
        <v>143</v>
      </c>
      <c r="G4" s="49" t="s">
        <v>143</v>
      </c>
      <c r="H4" s="49" t="s">
        <v>165</v>
      </c>
      <c r="I4" s="49" t="s">
        <v>142</v>
      </c>
      <c r="K4" s="48" t="s">
        <v>285</v>
      </c>
    </row>
    <row r="5" spans="1:13" s="54" customFormat="1" x14ac:dyDescent="0.25">
      <c r="A5" s="54" t="s">
        <v>145</v>
      </c>
      <c r="B5" s="50" t="s">
        <v>166</v>
      </c>
      <c r="C5" s="50" t="s">
        <v>167</v>
      </c>
      <c r="D5" s="117">
        <v>36836</v>
      </c>
      <c r="E5" s="67">
        <v>46153.96</v>
      </c>
      <c r="F5" s="67">
        <v>23076.98</v>
      </c>
      <c r="G5" s="67">
        <f>E5/2</f>
        <v>23076.98</v>
      </c>
      <c r="H5" s="67">
        <v>0</v>
      </c>
      <c r="I5" s="67">
        <f>SUM(F5:H5)</f>
        <v>46153.96</v>
      </c>
    </row>
    <row r="6" spans="1:13" x14ac:dyDescent="0.25">
      <c r="A6" t="s">
        <v>146</v>
      </c>
      <c r="B6" s="50" t="s">
        <v>168</v>
      </c>
      <c r="C6" s="50" t="s">
        <v>169</v>
      </c>
      <c r="D6" s="56">
        <v>35201</v>
      </c>
      <c r="E6" s="46">
        <v>41165.860031999997</v>
      </c>
      <c r="F6" s="67">
        <f t="shared" ref="F6:F7" si="0">E6/2</f>
        <v>20582.930015999998</v>
      </c>
      <c r="G6" s="67">
        <f t="shared" ref="G6:G7" si="1">E6/2</f>
        <v>20582.930015999998</v>
      </c>
      <c r="H6" s="67">
        <v>0</v>
      </c>
      <c r="I6" s="46">
        <f t="shared" ref="I6:I81" si="2">SUM(F6:H6)</f>
        <v>41165.860031999997</v>
      </c>
    </row>
    <row r="7" spans="1:13" x14ac:dyDescent="0.25">
      <c r="A7" t="s">
        <v>148</v>
      </c>
      <c r="B7" s="50" t="s">
        <v>174</v>
      </c>
      <c r="C7" s="50" t="s">
        <v>175</v>
      </c>
      <c r="D7" s="51">
        <v>40100</v>
      </c>
      <c r="E7" s="46">
        <v>28619.040000000001</v>
      </c>
      <c r="F7" s="67">
        <f t="shared" si="0"/>
        <v>14309.52</v>
      </c>
      <c r="G7" s="67">
        <f t="shared" si="1"/>
        <v>14309.52</v>
      </c>
      <c r="H7" s="67">
        <v>0</v>
      </c>
      <c r="I7" s="46">
        <f>SUM(F7:H7)</f>
        <v>28619.040000000001</v>
      </c>
      <c r="K7" s="120"/>
    </row>
    <row r="8" spans="1:13" x14ac:dyDescent="0.25">
      <c r="A8" t="s">
        <v>297</v>
      </c>
      <c r="B8" s="50" t="s">
        <v>172</v>
      </c>
      <c r="C8" s="50" t="s">
        <v>173</v>
      </c>
      <c r="D8" s="56">
        <v>41092</v>
      </c>
      <c r="E8" s="46">
        <v>28091.15</v>
      </c>
      <c r="F8" s="67">
        <f>(E8/2)-H22</f>
        <v>11136.75</v>
      </c>
      <c r="G8" s="67">
        <v>14045.57</v>
      </c>
      <c r="H8" s="67">
        <v>0</v>
      </c>
      <c r="I8" s="46">
        <f t="shared" ref="I8" si="3">SUM(F8:H8)</f>
        <v>25182.32</v>
      </c>
      <c r="J8" t="s">
        <v>310</v>
      </c>
    </row>
    <row r="9" spans="1:13" x14ac:dyDescent="0.25">
      <c r="A9" s="100" t="s">
        <v>291</v>
      </c>
      <c r="B9" s="105"/>
      <c r="C9" s="105"/>
      <c r="D9" s="106"/>
      <c r="E9" s="104">
        <v>0</v>
      </c>
      <c r="F9" s="104">
        <v>0</v>
      </c>
      <c r="G9" s="104">
        <v>0</v>
      </c>
      <c r="H9" s="104">
        <v>0</v>
      </c>
      <c r="I9" s="104">
        <f t="shared" ref="I9:I10" si="4">SUM(F9:H9)</f>
        <v>0</v>
      </c>
      <c r="J9" s="100"/>
      <c r="K9" s="104">
        <v>0</v>
      </c>
      <c r="M9" s="104">
        <v>12018.86</v>
      </c>
    </row>
    <row r="10" spans="1:13" x14ac:dyDescent="0.25">
      <c r="A10" s="100" t="s">
        <v>292</v>
      </c>
      <c r="B10" s="105"/>
      <c r="C10" s="105"/>
      <c r="D10" s="106"/>
      <c r="E10" s="104">
        <v>0</v>
      </c>
      <c r="F10" s="104">
        <v>0</v>
      </c>
      <c r="G10" s="104">
        <v>0</v>
      </c>
      <c r="H10" s="104">
        <v>0</v>
      </c>
      <c r="I10" s="104">
        <f t="shared" si="4"/>
        <v>0</v>
      </c>
      <c r="J10" s="100"/>
      <c r="K10" s="104">
        <v>0</v>
      </c>
      <c r="M10" s="104">
        <v>10369.219999999999</v>
      </c>
    </row>
    <row r="11" spans="1:13" x14ac:dyDescent="0.25">
      <c r="B11" s="50"/>
      <c r="C11" s="50"/>
      <c r="D11" s="56" t="s">
        <v>273</v>
      </c>
      <c r="E11" s="62">
        <f>SUM(E5:E10)</f>
        <v>144030.01003199999</v>
      </c>
      <c r="F11" s="62">
        <f t="shared" ref="F11:I11" si="5">SUM(F5:F10)</f>
        <v>69106.180015999998</v>
      </c>
      <c r="G11" s="62">
        <f t="shared" si="5"/>
        <v>72015.000016000005</v>
      </c>
      <c r="H11" s="62">
        <f t="shared" si="5"/>
        <v>0</v>
      </c>
      <c r="I11" s="62">
        <f t="shared" si="5"/>
        <v>141121.180032</v>
      </c>
    </row>
    <row r="12" spans="1:13" x14ac:dyDescent="0.25">
      <c r="B12" s="50"/>
      <c r="C12" s="50"/>
      <c r="D12" s="51"/>
      <c r="E12" s="46"/>
      <c r="F12" s="67"/>
      <c r="G12" s="67"/>
      <c r="H12" s="67"/>
      <c r="I12" s="46"/>
      <c r="K12" s="46">
        <v>25800</v>
      </c>
      <c r="L12" s="121">
        <v>1.1000000000000001</v>
      </c>
      <c r="M12" s="120">
        <f>K12*L12</f>
        <v>28380.000000000004</v>
      </c>
    </row>
    <row r="13" spans="1:13" s="54" customFormat="1" x14ac:dyDescent="0.25">
      <c r="A13" s="107" t="s">
        <v>299</v>
      </c>
      <c r="B13" s="108" t="s">
        <v>178</v>
      </c>
      <c r="C13" s="108" t="s">
        <v>179</v>
      </c>
      <c r="D13" s="109">
        <v>39060</v>
      </c>
      <c r="E13" s="110">
        <v>24974.400000000001</v>
      </c>
      <c r="F13" s="110">
        <f>E13/2</f>
        <v>12487.2</v>
      </c>
      <c r="G13" s="110">
        <f>E13/2</f>
        <v>12487.2</v>
      </c>
      <c r="H13" s="110">
        <v>0</v>
      </c>
      <c r="I13" s="110">
        <f t="shared" ref="I13:I18" si="6">SUM(F13:H13)</f>
        <v>24974.400000000001</v>
      </c>
      <c r="K13" s="67" t="s">
        <v>300</v>
      </c>
    </row>
    <row r="14" spans="1:13" x14ac:dyDescent="0.25">
      <c r="A14" t="s">
        <v>152</v>
      </c>
      <c r="B14" s="50" t="s">
        <v>187</v>
      </c>
      <c r="C14" s="50" t="s">
        <v>188</v>
      </c>
      <c r="D14" s="51">
        <v>39244</v>
      </c>
      <c r="E14" s="46">
        <v>19890.0416</v>
      </c>
      <c r="F14" s="67">
        <f>E14</f>
        <v>19890.0416</v>
      </c>
      <c r="G14" s="67">
        <v>0</v>
      </c>
      <c r="H14" s="67">
        <v>0</v>
      </c>
      <c r="I14" s="46">
        <f t="shared" si="6"/>
        <v>19890.0416</v>
      </c>
      <c r="K14" s="46"/>
    </row>
    <row r="15" spans="1:13" x14ac:dyDescent="0.25">
      <c r="A15" s="100" t="s">
        <v>152</v>
      </c>
      <c r="B15" s="105" t="s">
        <v>189</v>
      </c>
      <c r="C15" s="105" t="s">
        <v>190</v>
      </c>
      <c r="D15" s="106">
        <v>40940</v>
      </c>
      <c r="E15" s="104">
        <v>0</v>
      </c>
      <c r="F15" s="104">
        <f>E15</f>
        <v>0</v>
      </c>
      <c r="G15" s="104">
        <v>0</v>
      </c>
      <c r="H15" s="104">
        <v>0</v>
      </c>
      <c r="I15" s="104">
        <f t="shared" si="6"/>
        <v>0</v>
      </c>
      <c r="J15" s="100"/>
      <c r="K15" s="104">
        <v>17910.46</v>
      </c>
    </row>
    <row r="16" spans="1:13" x14ac:dyDescent="0.25">
      <c r="A16" t="s">
        <v>152</v>
      </c>
      <c r="B16" s="50" t="s">
        <v>191</v>
      </c>
      <c r="C16" s="50" t="s">
        <v>192</v>
      </c>
      <c r="D16" s="51">
        <v>40316</v>
      </c>
      <c r="E16" s="46">
        <v>18230.96704</v>
      </c>
      <c r="F16" s="67">
        <f t="shared" ref="F16:F18" si="7">E16</f>
        <v>18230.96704</v>
      </c>
      <c r="G16" s="67">
        <v>0</v>
      </c>
      <c r="H16" s="67">
        <v>0</v>
      </c>
      <c r="I16" s="46">
        <f t="shared" si="6"/>
        <v>18230.96704</v>
      </c>
      <c r="K16" s="46"/>
    </row>
    <row r="17" spans="1:11" s="54" customFormat="1" x14ac:dyDescent="0.25">
      <c r="A17" s="54" t="s">
        <v>152</v>
      </c>
      <c r="B17" s="50" t="s">
        <v>193</v>
      </c>
      <c r="C17" s="50" t="s">
        <v>194</v>
      </c>
      <c r="D17" s="51">
        <v>40316</v>
      </c>
      <c r="E17" s="67">
        <v>18230.97</v>
      </c>
      <c r="F17" s="67">
        <f t="shared" si="7"/>
        <v>18230.97</v>
      </c>
      <c r="G17" s="67">
        <v>0</v>
      </c>
      <c r="H17" s="67">
        <v>0</v>
      </c>
      <c r="I17" s="67">
        <f t="shared" si="6"/>
        <v>18230.97</v>
      </c>
      <c r="K17" s="67">
        <v>0</v>
      </c>
    </row>
    <row r="18" spans="1:11" x14ac:dyDescent="0.25">
      <c r="A18" t="s">
        <v>152</v>
      </c>
      <c r="B18" s="50" t="s">
        <v>195</v>
      </c>
      <c r="C18" s="50" t="s">
        <v>196</v>
      </c>
      <c r="D18" s="51">
        <v>41001</v>
      </c>
      <c r="E18" s="46">
        <v>17910.46</v>
      </c>
      <c r="F18" s="67">
        <f t="shared" si="7"/>
        <v>17910.46</v>
      </c>
      <c r="G18" s="67">
        <v>0</v>
      </c>
      <c r="H18" s="67">
        <v>0</v>
      </c>
      <c r="I18" s="46">
        <f t="shared" si="6"/>
        <v>17910.46</v>
      </c>
      <c r="J18" s="54"/>
      <c r="K18" s="46"/>
    </row>
    <row r="19" spans="1:11" x14ac:dyDescent="0.25">
      <c r="B19" s="50"/>
      <c r="C19" s="50"/>
      <c r="D19" s="73" t="s">
        <v>282</v>
      </c>
      <c r="E19" s="62">
        <f>SUM(E13:E18)</f>
        <v>99236.838640000002</v>
      </c>
      <c r="F19" s="62">
        <f t="shared" ref="F19:I19" si="8">SUM(F13:F18)</f>
        <v>86749.63863999999</v>
      </c>
      <c r="G19" s="62">
        <f t="shared" si="8"/>
        <v>12487.2</v>
      </c>
      <c r="H19" s="62">
        <f t="shared" si="8"/>
        <v>0</v>
      </c>
      <c r="I19" s="62">
        <f t="shared" si="8"/>
        <v>99236.838640000002</v>
      </c>
      <c r="K19" s="46"/>
    </row>
    <row r="20" spans="1:11" x14ac:dyDescent="0.25">
      <c r="B20" s="50"/>
      <c r="C20" s="50"/>
      <c r="D20" s="56"/>
      <c r="E20" s="46"/>
      <c r="F20" s="67"/>
      <c r="G20" s="67"/>
      <c r="H20" s="67"/>
      <c r="I20" s="46"/>
      <c r="K20" s="46"/>
    </row>
    <row r="21" spans="1:11" x14ac:dyDescent="0.25">
      <c r="A21" t="s">
        <v>147</v>
      </c>
      <c r="B21" s="50" t="s">
        <v>170</v>
      </c>
      <c r="C21" s="50" t="s">
        <v>171</v>
      </c>
      <c r="D21" s="56">
        <v>40787</v>
      </c>
      <c r="E21" s="46">
        <v>28091.148800000003</v>
      </c>
      <c r="F21" s="67">
        <v>0</v>
      </c>
      <c r="G21" s="67">
        <v>0</v>
      </c>
      <c r="H21" s="67">
        <f>E21</f>
        <v>28091.148800000003</v>
      </c>
      <c r="I21" s="46">
        <f t="shared" si="2"/>
        <v>28091.148800000003</v>
      </c>
      <c r="K21" s="46"/>
    </row>
    <row r="22" spans="1:11" s="54" customFormat="1" x14ac:dyDescent="0.25">
      <c r="A22" t="s">
        <v>297</v>
      </c>
      <c r="B22" s="50" t="s">
        <v>172</v>
      </c>
      <c r="C22" s="50" t="s">
        <v>173</v>
      </c>
      <c r="D22" s="56">
        <v>41092</v>
      </c>
      <c r="E22" s="67">
        <v>0</v>
      </c>
      <c r="F22" s="67">
        <v>0</v>
      </c>
      <c r="G22" s="67">
        <v>0</v>
      </c>
      <c r="H22" s="67">
        <f>189.5*15.35</f>
        <v>2908.8249999999998</v>
      </c>
      <c r="I22" s="67">
        <f>SUM(G22:H22)</f>
        <v>2908.8249999999998</v>
      </c>
      <c r="J22" t="s">
        <v>310</v>
      </c>
      <c r="K22" s="67"/>
    </row>
    <row r="23" spans="1:11" x14ac:dyDescent="0.25">
      <c r="B23" s="50"/>
      <c r="C23" s="50"/>
      <c r="D23" s="56" t="s">
        <v>165</v>
      </c>
      <c r="E23" s="62">
        <f>SUM(E21:E22)</f>
        <v>28091.148800000003</v>
      </c>
      <c r="F23" s="62">
        <f t="shared" ref="F23:I23" si="9">SUM(F21:F22)</f>
        <v>0</v>
      </c>
      <c r="G23" s="62">
        <f t="shared" si="9"/>
        <v>0</v>
      </c>
      <c r="H23" s="62">
        <f>SUM(H21:H22)</f>
        <v>30999.973800000003</v>
      </c>
      <c r="I23" s="62">
        <f t="shared" si="9"/>
        <v>30999.973800000003</v>
      </c>
      <c r="K23" s="46"/>
    </row>
    <row r="24" spans="1:11" x14ac:dyDescent="0.25">
      <c r="F24" s="54"/>
      <c r="G24" s="54"/>
      <c r="H24" s="54"/>
      <c r="K24" s="46"/>
    </row>
    <row r="25" spans="1:11" x14ac:dyDescent="0.25">
      <c r="A25" s="107" t="s">
        <v>298</v>
      </c>
      <c r="B25" s="108" t="s">
        <v>176</v>
      </c>
      <c r="C25" s="108" t="s">
        <v>177</v>
      </c>
      <c r="D25" s="111">
        <v>38838</v>
      </c>
      <c r="E25" s="110">
        <v>24974.400000000001</v>
      </c>
      <c r="F25" s="110">
        <f t="shared" ref="F25:F26" si="10">E25/2</f>
        <v>12487.2</v>
      </c>
      <c r="G25" s="110">
        <f t="shared" ref="G25:G26" si="11">E25/2</f>
        <v>12487.2</v>
      </c>
      <c r="H25" s="110">
        <v>0</v>
      </c>
      <c r="I25" s="110">
        <f t="shared" si="2"/>
        <v>24974.400000000001</v>
      </c>
      <c r="K25" s="46" t="s">
        <v>301</v>
      </c>
    </row>
    <row r="26" spans="1:11" x14ac:dyDescent="0.25">
      <c r="A26" s="100" t="s">
        <v>150</v>
      </c>
      <c r="B26" s="105" t="s">
        <v>180</v>
      </c>
      <c r="C26" s="105" t="s">
        <v>181</v>
      </c>
      <c r="D26" s="112">
        <v>41004</v>
      </c>
      <c r="E26" s="104">
        <v>0</v>
      </c>
      <c r="F26" s="104">
        <f t="shared" si="10"/>
        <v>0</v>
      </c>
      <c r="G26" s="104">
        <f t="shared" si="11"/>
        <v>0</v>
      </c>
      <c r="H26" s="104">
        <v>0</v>
      </c>
      <c r="I26" s="104">
        <f t="shared" si="2"/>
        <v>0</v>
      </c>
      <c r="J26" s="100"/>
      <c r="K26" s="104">
        <v>19795.776000000002</v>
      </c>
    </row>
    <row r="27" spans="1:11" x14ac:dyDescent="0.25">
      <c r="A27" s="100" t="s">
        <v>150</v>
      </c>
      <c r="B27" s="101" t="s">
        <v>182</v>
      </c>
      <c r="C27" s="102"/>
      <c r="D27" s="103"/>
      <c r="E27" s="104">
        <v>0</v>
      </c>
      <c r="F27" s="104">
        <f>E27</f>
        <v>0</v>
      </c>
      <c r="G27" s="104">
        <v>0</v>
      </c>
      <c r="H27" s="104">
        <v>0</v>
      </c>
      <c r="I27" s="104">
        <f t="shared" si="2"/>
        <v>0</v>
      </c>
      <c r="J27" s="100"/>
      <c r="K27" s="104">
        <v>19795.776000000002</v>
      </c>
    </row>
    <row r="28" spans="1:11" x14ac:dyDescent="0.25">
      <c r="B28" s="52"/>
      <c r="C28" s="53"/>
      <c r="D28" s="69" t="s">
        <v>278</v>
      </c>
      <c r="E28" s="62">
        <f>SUM(E25:E27)</f>
        <v>24974.400000000001</v>
      </c>
      <c r="F28" s="62">
        <f t="shared" ref="F28:I28" si="12">SUM(F25:F27)</f>
        <v>12487.2</v>
      </c>
      <c r="G28" s="62">
        <f t="shared" si="12"/>
        <v>12487.2</v>
      </c>
      <c r="H28" s="62">
        <f t="shared" si="12"/>
        <v>0</v>
      </c>
      <c r="I28" s="62">
        <f t="shared" si="12"/>
        <v>24974.400000000001</v>
      </c>
    </row>
    <row r="29" spans="1:11" x14ac:dyDescent="0.25">
      <c r="B29" s="52"/>
      <c r="C29" s="53"/>
      <c r="D29" s="57"/>
      <c r="E29" s="46"/>
      <c r="F29" s="67"/>
      <c r="G29" s="67"/>
      <c r="H29" s="67"/>
      <c r="I29" s="46"/>
    </row>
    <row r="30" spans="1:11" x14ac:dyDescent="0.25">
      <c r="A30" s="100" t="s">
        <v>149</v>
      </c>
      <c r="B30" s="105" t="s">
        <v>176</v>
      </c>
      <c r="C30" s="105" t="s">
        <v>177</v>
      </c>
      <c r="D30" s="112">
        <v>38838</v>
      </c>
      <c r="E30" s="104">
        <v>0</v>
      </c>
      <c r="F30" s="104">
        <f>E30/2</f>
        <v>0</v>
      </c>
      <c r="G30" s="104">
        <f>E30/2</f>
        <v>0</v>
      </c>
      <c r="H30" s="104">
        <v>0</v>
      </c>
      <c r="I30" s="104">
        <f>SUM(F30:H30)</f>
        <v>0</v>
      </c>
      <c r="J30" s="100"/>
      <c r="K30" s="104">
        <v>28615.338048000001</v>
      </c>
    </row>
    <row r="31" spans="1:11" x14ac:dyDescent="0.25">
      <c r="A31" s="100" t="s">
        <v>154</v>
      </c>
      <c r="B31" s="105" t="s">
        <v>199</v>
      </c>
      <c r="C31" s="105" t="s">
        <v>200</v>
      </c>
      <c r="D31" s="106">
        <v>38971</v>
      </c>
      <c r="E31" s="104">
        <v>0</v>
      </c>
      <c r="F31" s="104">
        <f>E31</f>
        <v>0</v>
      </c>
      <c r="G31" s="104">
        <v>0</v>
      </c>
      <c r="H31" s="104">
        <v>0</v>
      </c>
      <c r="I31" s="104">
        <f>SUM(F31:H31)</f>
        <v>0</v>
      </c>
      <c r="J31" s="100"/>
      <c r="K31" s="104">
        <v>23846.078784000001</v>
      </c>
    </row>
    <row r="32" spans="1:11" x14ac:dyDescent="0.25">
      <c r="B32" s="50"/>
      <c r="C32" s="50"/>
      <c r="D32" s="71" t="s">
        <v>279</v>
      </c>
      <c r="E32" s="62">
        <f>SUM(E30:E31)</f>
        <v>0</v>
      </c>
      <c r="F32" s="62">
        <f t="shared" ref="F32:I32" si="13">SUM(F30:F31)</f>
        <v>0</v>
      </c>
      <c r="G32" s="62">
        <f t="shared" si="13"/>
        <v>0</v>
      </c>
      <c r="H32" s="62">
        <f t="shared" si="13"/>
        <v>0</v>
      </c>
      <c r="I32" s="62">
        <f t="shared" si="13"/>
        <v>0</v>
      </c>
    </row>
    <row r="33" spans="1:10" x14ac:dyDescent="0.25">
      <c r="B33" s="50"/>
      <c r="C33" s="50"/>
      <c r="D33" s="56"/>
      <c r="E33" s="46"/>
      <c r="F33" s="67"/>
      <c r="G33" s="67"/>
      <c r="H33" s="67"/>
      <c r="I33" s="46"/>
    </row>
    <row r="34" spans="1:10" x14ac:dyDescent="0.25">
      <c r="A34" t="s">
        <v>151</v>
      </c>
      <c r="B34" s="50" t="s">
        <v>183</v>
      </c>
      <c r="C34" s="50" t="s">
        <v>184</v>
      </c>
      <c r="D34" s="51">
        <v>40028</v>
      </c>
      <c r="E34" s="46">
        <v>17910.464</v>
      </c>
      <c r="F34" s="67">
        <f>E34/2</f>
        <v>8955.232</v>
      </c>
      <c r="G34" s="67">
        <f>E34/2</f>
        <v>8955.232</v>
      </c>
      <c r="H34" s="67">
        <v>0</v>
      </c>
      <c r="I34" s="46">
        <f t="shared" si="2"/>
        <v>17910.464</v>
      </c>
    </row>
    <row r="35" spans="1:10" x14ac:dyDescent="0.25">
      <c r="A35" t="s">
        <v>151</v>
      </c>
      <c r="B35" s="50" t="s">
        <v>185</v>
      </c>
      <c r="C35" s="50" t="s">
        <v>186</v>
      </c>
      <c r="D35" s="51">
        <v>39011</v>
      </c>
      <c r="E35" s="46">
        <v>21662.234880000004</v>
      </c>
      <c r="F35" s="67">
        <v>0</v>
      </c>
      <c r="G35" s="67">
        <f>E35</f>
        <v>21662.234880000004</v>
      </c>
      <c r="H35" s="67">
        <v>0</v>
      </c>
      <c r="I35" s="46">
        <f t="shared" si="2"/>
        <v>21662.234880000004</v>
      </c>
    </row>
    <row r="36" spans="1:10" x14ac:dyDescent="0.25">
      <c r="D36" s="59" t="s">
        <v>151</v>
      </c>
      <c r="E36" s="72">
        <f>SUM(E34:E35)</f>
        <v>39572.698880000004</v>
      </c>
      <c r="F36" s="72">
        <f t="shared" ref="F36:I36" si="14">SUM(F34:F35)</f>
        <v>8955.232</v>
      </c>
      <c r="G36" s="72">
        <f t="shared" si="14"/>
        <v>30617.466880000004</v>
      </c>
      <c r="H36" s="72">
        <f t="shared" si="14"/>
        <v>0</v>
      </c>
      <c r="I36" s="72">
        <f t="shared" si="14"/>
        <v>39572.698880000004</v>
      </c>
    </row>
    <row r="38" spans="1:10" x14ac:dyDescent="0.25">
      <c r="A38" s="54" t="s">
        <v>153</v>
      </c>
      <c r="B38" s="50" t="s">
        <v>197</v>
      </c>
      <c r="C38" s="50" t="s">
        <v>198</v>
      </c>
      <c r="D38" s="51">
        <v>40940</v>
      </c>
      <c r="E38" s="67">
        <v>16967.808000000001</v>
      </c>
      <c r="F38" s="67">
        <f t="shared" ref="F38:F41" si="15">E38</f>
        <v>16967.808000000001</v>
      </c>
      <c r="G38" s="67">
        <v>0</v>
      </c>
      <c r="H38" s="67">
        <v>0</v>
      </c>
      <c r="I38" s="67">
        <f t="shared" si="2"/>
        <v>16967.808000000001</v>
      </c>
    </row>
    <row r="39" spans="1:10" x14ac:dyDescent="0.25">
      <c r="A39" s="54" t="s">
        <v>153</v>
      </c>
      <c r="B39" s="50" t="s">
        <v>216</v>
      </c>
      <c r="C39" s="50" t="s">
        <v>217</v>
      </c>
      <c r="D39" s="51">
        <v>41078</v>
      </c>
      <c r="E39" s="67">
        <v>16967.808000000001</v>
      </c>
      <c r="F39" s="67">
        <f t="shared" si="15"/>
        <v>16967.808000000001</v>
      </c>
      <c r="G39" s="67">
        <v>0</v>
      </c>
      <c r="H39" s="67">
        <v>0</v>
      </c>
      <c r="I39" s="67">
        <f t="shared" si="2"/>
        <v>16967.808000000001</v>
      </c>
    </row>
    <row r="40" spans="1:10" x14ac:dyDescent="0.25">
      <c r="A40" s="54" t="s">
        <v>160</v>
      </c>
      <c r="B40" s="50" t="s">
        <v>243</v>
      </c>
      <c r="C40" s="50" t="s">
        <v>244</v>
      </c>
      <c r="D40" s="51">
        <v>38961</v>
      </c>
      <c r="E40" s="67">
        <v>20380.222720000002</v>
      </c>
      <c r="F40" s="67">
        <f t="shared" si="15"/>
        <v>20380.222720000002</v>
      </c>
      <c r="G40" s="67">
        <v>0</v>
      </c>
      <c r="H40" s="67">
        <v>0</v>
      </c>
      <c r="I40" s="67">
        <f>SUM(F40:H40)</f>
        <v>20380.222720000002</v>
      </c>
    </row>
    <row r="41" spans="1:10" x14ac:dyDescent="0.25">
      <c r="A41" s="54" t="s">
        <v>160</v>
      </c>
      <c r="B41" s="50" t="s">
        <v>189</v>
      </c>
      <c r="C41" s="50" t="s">
        <v>190</v>
      </c>
      <c r="D41" s="51">
        <v>40940</v>
      </c>
      <c r="E41" s="67">
        <v>16025.152000000002</v>
      </c>
      <c r="F41" s="67">
        <f t="shared" si="15"/>
        <v>16025.152000000002</v>
      </c>
      <c r="G41" s="67">
        <v>0</v>
      </c>
      <c r="H41" s="67">
        <v>0</v>
      </c>
      <c r="I41" s="67">
        <f>SUM(F41:H41)</f>
        <v>16025.152000000002</v>
      </c>
    </row>
    <row r="42" spans="1:10" x14ac:dyDescent="0.25">
      <c r="A42" s="54"/>
      <c r="B42" s="50"/>
      <c r="C42" s="50"/>
      <c r="D42" s="71" t="s">
        <v>6</v>
      </c>
      <c r="E42" s="70">
        <f>SUM(E38:E41)</f>
        <v>70340.990720000002</v>
      </c>
      <c r="F42" s="70">
        <f t="shared" ref="F42:I42" si="16">SUM(F38:F41)</f>
        <v>70340.990720000002</v>
      </c>
      <c r="G42" s="70">
        <f t="shared" si="16"/>
        <v>0</v>
      </c>
      <c r="H42" s="70">
        <f t="shared" si="16"/>
        <v>0</v>
      </c>
      <c r="I42" s="70">
        <f t="shared" si="16"/>
        <v>70340.990720000002</v>
      </c>
    </row>
    <row r="43" spans="1:10" x14ac:dyDescent="0.25">
      <c r="A43" s="54"/>
      <c r="B43" s="50"/>
      <c r="C43" s="50"/>
      <c r="D43" s="51"/>
      <c r="E43" s="67" t="s">
        <v>19</v>
      </c>
      <c r="F43" s="67"/>
      <c r="G43" s="67"/>
      <c r="H43" s="67"/>
      <c r="I43" s="67"/>
    </row>
    <row r="44" spans="1:10" x14ac:dyDescent="0.25">
      <c r="A44" s="54"/>
      <c r="B44" s="50"/>
      <c r="C44" s="50"/>
      <c r="D44" s="51"/>
      <c r="E44" s="67"/>
      <c r="F44" s="67"/>
      <c r="G44" s="67"/>
      <c r="H44" s="67"/>
      <c r="I44" s="67"/>
    </row>
    <row r="45" spans="1:10" x14ac:dyDescent="0.25">
      <c r="A45" t="s">
        <v>155</v>
      </c>
      <c r="B45" s="50" t="s">
        <v>201</v>
      </c>
      <c r="C45" s="50" t="s">
        <v>202</v>
      </c>
      <c r="D45" s="51">
        <v>38961</v>
      </c>
      <c r="E45" s="46">
        <v>14422.636799999997</v>
      </c>
      <c r="F45" s="67">
        <f t="shared" ref="F45:F74" si="17">E45</f>
        <v>14422.636799999997</v>
      </c>
      <c r="G45" s="46">
        <v>0</v>
      </c>
      <c r="H45" s="46">
        <v>0</v>
      </c>
      <c r="I45" s="46">
        <f t="shared" si="2"/>
        <v>14422.636799999997</v>
      </c>
    </row>
    <row r="46" spans="1:10" x14ac:dyDescent="0.25">
      <c r="A46" t="s">
        <v>155</v>
      </c>
      <c r="B46" s="50" t="s">
        <v>203</v>
      </c>
      <c r="C46" s="50" t="s">
        <v>204</v>
      </c>
      <c r="D46" s="51">
        <v>38961</v>
      </c>
      <c r="E46" s="46">
        <v>14422.636799999997</v>
      </c>
      <c r="F46" s="67">
        <f t="shared" si="17"/>
        <v>14422.636799999997</v>
      </c>
      <c r="G46" s="46">
        <v>0</v>
      </c>
      <c r="H46" s="46">
        <v>0</v>
      </c>
      <c r="I46" s="46">
        <f t="shared" si="2"/>
        <v>14422.636799999997</v>
      </c>
    </row>
    <row r="47" spans="1:10" s="54" customFormat="1" x14ac:dyDescent="0.25">
      <c r="A47" s="54" t="s">
        <v>157</v>
      </c>
      <c r="B47" s="50" t="s">
        <v>276</v>
      </c>
      <c r="C47" s="50" t="s">
        <v>277</v>
      </c>
      <c r="D47" s="51">
        <v>41156</v>
      </c>
      <c r="E47" s="67">
        <v>12018.86</v>
      </c>
      <c r="F47" s="67">
        <f t="shared" si="17"/>
        <v>12018.86</v>
      </c>
      <c r="G47" s="67">
        <v>0</v>
      </c>
      <c r="H47" s="67">
        <v>0</v>
      </c>
      <c r="I47" s="67">
        <f t="shared" si="2"/>
        <v>12018.86</v>
      </c>
    </row>
    <row r="48" spans="1:10" x14ac:dyDescent="0.25">
      <c r="A48" t="s">
        <v>156</v>
      </c>
      <c r="B48" s="50" t="s">
        <v>205</v>
      </c>
      <c r="C48" s="50" t="s">
        <v>206</v>
      </c>
      <c r="D48" s="51">
        <v>40227</v>
      </c>
      <c r="E48" s="46">
        <v>17288.311039999997</v>
      </c>
      <c r="F48" s="67">
        <f t="shared" si="17"/>
        <v>17288.311039999997</v>
      </c>
      <c r="G48" s="46">
        <v>0</v>
      </c>
      <c r="H48" s="46">
        <v>0</v>
      </c>
      <c r="I48" s="46">
        <f t="shared" si="2"/>
        <v>17288.311039999997</v>
      </c>
      <c r="J48" s="54"/>
    </row>
    <row r="49" spans="1:10" x14ac:dyDescent="0.25">
      <c r="A49" t="s">
        <v>156</v>
      </c>
      <c r="B49" s="50" t="s">
        <v>207</v>
      </c>
      <c r="C49" s="50" t="s">
        <v>208</v>
      </c>
      <c r="D49" s="51">
        <v>40281</v>
      </c>
      <c r="E49" s="46">
        <v>17288.311039999997</v>
      </c>
      <c r="F49" s="67">
        <f t="shared" si="17"/>
        <v>17288.311039999997</v>
      </c>
      <c r="G49" s="46">
        <v>0</v>
      </c>
      <c r="H49" s="46">
        <v>0</v>
      </c>
      <c r="I49" s="46">
        <f t="shared" si="2"/>
        <v>17288.311039999997</v>
      </c>
      <c r="J49" s="54"/>
    </row>
    <row r="50" spans="1:10" x14ac:dyDescent="0.25">
      <c r="A50" t="s">
        <v>156</v>
      </c>
      <c r="B50" s="50" t="s">
        <v>209</v>
      </c>
      <c r="C50" s="50" t="s">
        <v>210</v>
      </c>
      <c r="D50" s="51">
        <v>40940</v>
      </c>
      <c r="E50" s="46">
        <v>16967.808000000001</v>
      </c>
      <c r="F50" s="67">
        <f t="shared" si="17"/>
        <v>16967.808000000001</v>
      </c>
      <c r="G50" s="46">
        <v>0</v>
      </c>
      <c r="H50" s="46">
        <v>0</v>
      </c>
      <c r="I50" s="46">
        <f t="shared" si="2"/>
        <v>16967.808000000001</v>
      </c>
      <c r="J50" s="54"/>
    </row>
    <row r="51" spans="1:10" x14ac:dyDescent="0.25">
      <c r="A51" t="s">
        <v>156</v>
      </c>
      <c r="B51" s="50" t="s">
        <v>211</v>
      </c>
      <c r="C51" s="50" t="s">
        <v>212</v>
      </c>
      <c r="D51" s="51">
        <v>40716</v>
      </c>
      <c r="E51" s="46">
        <v>16967.808000000001</v>
      </c>
      <c r="F51" s="67">
        <f t="shared" si="17"/>
        <v>16967.808000000001</v>
      </c>
      <c r="G51" s="46">
        <v>0</v>
      </c>
      <c r="H51" s="46">
        <v>0</v>
      </c>
      <c r="I51" s="46">
        <f t="shared" si="2"/>
        <v>16967.808000000001</v>
      </c>
      <c r="J51" s="54"/>
    </row>
    <row r="52" spans="1:10" x14ac:dyDescent="0.25">
      <c r="A52" t="s">
        <v>156</v>
      </c>
      <c r="B52" s="50" t="s">
        <v>213</v>
      </c>
      <c r="C52" s="50" t="s">
        <v>214</v>
      </c>
      <c r="D52" s="51">
        <v>40925</v>
      </c>
      <c r="E52" s="46">
        <v>16967.808000000001</v>
      </c>
      <c r="F52" s="67">
        <f t="shared" si="17"/>
        <v>16967.808000000001</v>
      </c>
      <c r="G52" s="46">
        <v>0</v>
      </c>
      <c r="H52" s="46">
        <v>0</v>
      </c>
      <c r="I52" s="46">
        <f t="shared" si="2"/>
        <v>16967.808000000001</v>
      </c>
      <c r="J52" s="54"/>
    </row>
    <row r="53" spans="1:10" x14ac:dyDescent="0.25">
      <c r="A53" t="s">
        <v>156</v>
      </c>
      <c r="B53" s="50" t="s">
        <v>215</v>
      </c>
      <c r="C53" s="50" t="s">
        <v>173</v>
      </c>
      <c r="D53" s="51">
        <v>40925</v>
      </c>
      <c r="E53" s="46">
        <v>16967.808000000001</v>
      </c>
      <c r="F53" s="67">
        <f t="shared" si="17"/>
        <v>16967.808000000001</v>
      </c>
      <c r="G53" s="46">
        <v>0</v>
      </c>
      <c r="H53" s="46">
        <v>0</v>
      </c>
      <c r="I53" s="46">
        <f t="shared" si="2"/>
        <v>16967.808000000001</v>
      </c>
      <c r="J53" s="54"/>
    </row>
    <row r="54" spans="1:10" x14ac:dyDescent="0.25">
      <c r="A54" t="s">
        <v>156</v>
      </c>
      <c r="B54" s="50" t="s">
        <v>199</v>
      </c>
      <c r="C54" s="50" t="s">
        <v>200</v>
      </c>
      <c r="D54" s="51">
        <v>38971</v>
      </c>
      <c r="E54" s="46">
        <v>23000.81</v>
      </c>
      <c r="F54" s="67">
        <f t="shared" si="17"/>
        <v>23000.81</v>
      </c>
      <c r="G54" s="46">
        <v>0</v>
      </c>
      <c r="H54" s="46">
        <v>0</v>
      </c>
      <c r="I54" s="46">
        <f t="shared" si="2"/>
        <v>23000.81</v>
      </c>
      <c r="J54" s="54"/>
    </row>
    <row r="55" spans="1:10" x14ac:dyDescent="0.25">
      <c r="A55" t="s">
        <v>156</v>
      </c>
      <c r="B55" s="50" t="s">
        <v>218</v>
      </c>
      <c r="C55" s="50" t="s">
        <v>219</v>
      </c>
      <c r="D55" s="51">
        <v>40792</v>
      </c>
      <c r="E55" s="46">
        <v>16967.808000000001</v>
      </c>
      <c r="F55" s="67">
        <f t="shared" si="17"/>
        <v>16967.808000000001</v>
      </c>
      <c r="G55" s="46">
        <v>0</v>
      </c>
      <c r="H55" s="46">
        <v>0</v>
      </c>
      <c r="I55" s="46">
        <f t="shared" si="2"/>
        <v>16967.808000000001</v>
      </c>
      <c r="J55" s="54"/>
    </row>
    <row r="56" spans="1:10" x14ac:dyDescent="0.25">
      <c r="A56" t="s">
        <v>156</v>
      </c>
      <c r="B56" s="51" t="s">
        <v>220</v>
      </c>
      <c r="C56" s="50" t="s">
        <v>221</v>
      </c>
      <c r="D56" s="56">
        <v>38961</v>
      </c>
      <c r="E56" s="46">
        <v>23000.806400000001</v>
      </c>
      <c r="F56" s="67">
        <f t="shared" si="17"/>
        <v>23000.806400000001</v>
      </c>
      <c r="G56" s="46">
        <v>0</v>
      </c>
      <c r="H56" s="46">
        <v>0</v>
      </c>
      <c r="I56" s="46">
        <f t="shared" si="2"/>
        <v>23000.806400000001</v>
      </c>
      <c r="J56" s="54"/>
    </row>
    <row r="57" spans="1:10" x14ac:dyDescent="0.25">
      <c r="A57" t="s">
        <v>156</v>
      </c>
      <c r="B57" s="50" t="s">
        <v>222</v>
      </c>
      <c r="C57" s="50" t="s">
        <v>223</v>
      </c>
      <c r="D57" s="51">
        <v>39615</v>
      </c>
      <c r="E57" s="46">
        <v>17797.345280000001</v>
      </c>
      <c r="F57" s="67">
        <f t="shared" si="17"/>
        <v>17797.345280000001</v>
      </c>
      <c r="G57" s="46">
        <v>0</v>
      </c>
      <c r="H57" s="46">
        <v>0</v>
      </c>
      <c r="I57" s="46">
        <f t="shared" si="2"/>
        <v>17797.345280000001</v>
      </c>
      <c r="J57" s="54"/>
    </row>
    <row r="58" spans="1:10" s="54" customFormat="1" x14ac:dyDescent="0.25">
      <c r="A58" s="54" t="s">
        <v>156</v>
      </c>
      <c r="B58" s="50" t="s">
        <v>295</v>
      </c>
      <c r="C58" s="50" t="s">
        <v>296</v>
      </c>
      <c r="D58" s="51">
        <v>41156</v>
      </c>
      <c r="E58" s="67">
        <v>16967.808000000001</v>
      </c>
      <c r="F58" s="67">
        <f t="shared" si="17"/>
        <v>16967.808000000001</v>
      </c>
      <c r="G58" s="67">
        <v>0</v>
      </c>
      <c r="H58" s="67">
        <v>0</v>
      </c>
      <c r="I58" s="67">
        <f t="shared" si="2"/>
        <v>16967.808000000001</v>
      </c>
    </row>
    <row r="59" spans="1:10" x14ac:dyDescent="0.25">
      <c r="A59" t="s">
        <v>156</v>
      </c>
      <c r="B59" s="50" t="s">
        <v>224</v>
      </c>
      <c r="C59" s="50" t="s">
        <v>225</v>
      </c>
      <c r="D59" s="51">
        <v>40925</v>
      </c>
      <c r="E59" s="46">
        <v>16967.808000000001</v>
      </c>
      <c r="F59" s="67">
        <f t="shared" si="17"/>
        <v>16967.808000000001</v>
      </c>
      <c r="G59" s="46">
        <v>0</v>
      </c>
      <c r="H59" s="46">
        <v>0</v>
      </c>
      <c r="I59" s="46">
        <f t="shared" si="2"/>
        <v>16967.808000000001</v>
      </c>
      <c r="J59" s="54"/>
    </row>
    <row r="60" spans="1:10" x14ac:dyDescent="0.25">
      <c r="A60" t="s">
        <v>157</v>
      </c>
      <c r="B60" s="50" t="s">
        <v>226</v>
      </c>
      <c r="C60" s="50" t="s">
        <v>227</v>
      </c>
      <c r="D60" s="51">
        <v>40100</v>
      </c>
      <c r="E60" s="46">
        <v>12966.233280000002</v>
      </c>
      <c r="F60" s="67">
        <f t="shared" si="17"/>
        <v>12966.233280000002</v>
      </c>
      <c r="G60" s="46">
        <v>0</v>
      </c>
      <c r="H60" s="46">
        <v>0</v>
      </c>
      <c r="I60" s="46">
        <f t="shared" si="2"/>
        <v>12966.233280000002</v>
      </c>
      <c r="J60" s="54"/>
    </row>
    <row r="61" spans="1:10" x14ac:dyDescent="0.25">
      <c r="A61" t="s">
        <v>157</v>
      </c>
      <c r="B61" s="50" t="s">
        <v>228</v>
      </c>
      <c r="C61" s="50" t="s">
        <v>229</v>
      </c>
      <c r="D61" s="51">
        <v>40969</v>
      </c>
      <c r="E61" s="46">
        <v>12018.864000000001</v>
      </c>
      <c r="F61" s="67">
        <v>0</v>
      </c>
      <c r="G61" s="46">
        <v>12018.86</v>
      </c>
      <c r="H61" s="46">
        <v>0</v>
      </c>
      <c r="I61" s="46">
        <f t="shared" si="2"/>
        <v>12018.86</v>
      </c>
      <c r="J61" s="54"/>
    </row>
    <row r="62" spans="1:10" x14ac:dyDescent="0.25">
      <c r="A62" t="s">
        <v>158</v>
      </c>
      <c r="B62" s="50" t="s">
        <v>230</v>
      </c>
      <c r="C62" s="50" t="s">
        <v>231</v>
      </c>
      <c r="D62" s="51">
        <v>40806</v>
      </c>
      <c r="E62" s="46">
        <v>12018.864000000001</v>
      </c>
      <c r="F62" s="67">
        <f t="shared" si="17"/>
        <v>12018.864000000001</v>
      </c>
      <c r="G62" s="46">
        <v>0</v>
      </c>
      <c r="H62" s="46">
        <v>0</v>
      </c>
      <c r="I62" s="46">
        <f t="shared" si="2"/>
        <v>12018.864000000001</v>
      </c>
      <c r="J62" s="54"/>
    </row>
    <row r="63" spans="1:10" x14ac:dyDescent="0.25">
      <c r="A63" t="s">
        <v>159</v>
      </c>
      <c r="B63" s="50" t="s">
        <v>232</v>
      </c>
      <c r="C63" s="50" t="s">
        <v>233</v>
      </c>
      <c r="D63" s="51">
        <v>38961</v>
      </c>
      <c r="E63" s="46">
        <v>19230.182400000002</v>
      </c>
      <c r="F63" s="67">
        <f t="shared" si="17"/>
        <v>19230.182400000002</v>
      </c>
      <c r="G63" s="46">
        <v>0</v>
      </c>
      <c r="H63" s="46">
        <v>0</v>
      </c>
      <c r="I63" s="46">
        <f t="shared" si="2"/>
        <v>19230.182400000002</v>
      </c>
      <c r="J63" s="54"/>
    </row>
    <row r="64" spans="1:10" x14ac:dyDescent="0.25">
      <c r="A64" t="s">
        <v>159</v>
      </c>
      <c r="B64" s="50" t="s">
        <v>234</v>
      </c>
      <c r="C64" s="50" t="s">
        <v>235</v>
      </c>
      <c r="D64" s="51">
        <v>38838</v>
      </c>
      <c r="E64" s="46">
        <v>19343.30112</v>
      </c>
      <c r="F64" s="67">
        <f t="shared" si="17"/>
        <v>19343.30112</v>
      </c>
      <c r="G64" s="46">
        <v>0</v>
      </c>
      <c r="H64" s="46">
        <v>0</v>
      </c>
      <c r="I64" s="46">
        <f t="shared" si="2"/>
        <v>19343.30112</v>
      </c>
      <c r="J64" s="54"/>
    </row>
    <row r="65" spans="1:11" x14ac:dyDescent="0.25">
      <c r="A65" t="s">
        <v>159</v>
      </c>
      <c r="B65" s="50" t="s">
        <v>236</v>
      </c>
      <c r="C65" s="50" t="s">
        <v>237</v>
      </c>
      <c r="D65" s="51">
        <v>39868</v>
      </c>
      <c r="E65" s="46">
        <v>17118.632960000003</v>
      </c>
      <c r="F65" s="67">
        <f t="shared" si="17"/>
        <v>17118.632960000003</v>
      </c>
      <c r="G65" s="46">
        <v>0</v>
      </c>
      <c r="H65" s="46">
        <v>0</v>
      </c>
      <c r="I65" s="46">
        <f t="shared" si="2"/>
        <v>17118.632960000003</v>
      </c>
      <c r="J65" s="54"/>
    </row>
    <row r="66" spans="1:11" x14ac:dyDescent="0.25">
      <c r="A66" s="100" t="s">
        <v>159</v>
      </c>
      <c r="B66" s="105"/>
      <c r="C66" s="105"/>
      <c r="D66" s="106"/>
      <c r="E66" s="104">
        <v>0</v>
      </c>
      <c r="F66" s="104">
        <f t="shared" si="17"/>
        <v>0</v>
      </c>
      <c r="G66" s="104">
        <v>0</v>
      </c>
      <c r="H66" s="104">
        <v>0</v>
      </c>
      <c r="I66" s="104">
        <f t="shared" si="2"/>
        <v>0</v>
      </c>
      <c r="J66" s="100"/>
      <c r="K66" s="104">
        <v>19343.3</v>
      </c>
    </row>
    <row r="67" spans="1:11" x14ac:dyDescent="0.25">
      <c r="A67" t="s">
        <v>159</v>
      </c>
      <c r="B67" s="50" t="s">
        <v>224</v>
      </c>
      <c r="C67" s="50" t="s">
        <v>238</v>
      </c>
      <c r="D67" s="51">
        <v>38838</v>
      </c>
      <c r="E67" s="46">
        <v>19343.30112</v>
      </c>
      <c r="F67" s="67">
        <f t="shared" si="17"/>
        <v>19343.30112</v>
      </c>
      <c r="G67" s="46">
        <v>0</v>
      </c>
      <c r="H67" s="46">
        <v>0</v>
      </c>
      <c r="I67" s="46">
        <f t="shared" si="2"/>
        <v>19343.30112</v>
      </c>
      <c r="J67" s="54"/>
    </row>
    <row r="68" spans="1:11" x14ac:dyDescent="0.25">
      <c r="A68" t="s">
        <v>159</v>
      </c>
      <c r="B68" s="50" t="s">
        <v>239</v>
      </c>
      <c r="C68" s="50" t="s">
        <v>240</v>
      </c>
      <c r="D68" s="51">
        <v>40771</v>
      </c>
      <c r="E68" s="46">
        <v>16025.152000000002</v>
      </c>
      <c r="F68" s="67">
        <f t="shared" si="17"/>
        <v>16025.152000000002</v>
      </c>
      <c r="G68" s="46">
        <v>0</v>
      </c>
      <c r="H68" s="46">
        <v>0</v>
      </c>
      <c r="I68" s="46">
        <f t="shared" si="2"/>
        <v>16025.152000000002</v>
      </c>
      <c r="J68" s="54"/>
    </row>
    <row r="69" spans="1:11" x14ac:dyDescent="0.25">
      <c r="A69" t="s">
        <v>159</v>
      </c>
      <c r="B69" s="50" t="s">
        <v>241</v>
      </c>
      <c r="C69" s="50" t="s">
        <v>242</v>
      </c>
      <c r="D69" s="51">
        <v>40498</v>
      </c>
      <c r="E69" s="46">
        <v>16025.152000000002</v>
      </c>
      <c r="F69" s="67">
        <f t="shared" si="17"/>
        <v>16025.152000000002</v>
      </c>
      <c r="G69" s="46">
        <v>0</v>
      </c>
      <c r="H69" s="46">
        <v>0</v>
      </c>
      <c r="I69" s="46">
        <f t="shared" si="2"/>
        <v>16025.152000000002</v>
      </c>
      <c r="J69" s="54"/>
    </row>
    <row r="70" spans="1:11" x14ac:dyDescent="0.25">
      <c r="A70" t="s">
        <v>159</v>
      </c>
      <c r="B70" s="50" t="s">
        <v>245</v>
      </c>
      <c r="C70" s="50" t="s">
        <v>246</v>
      </c>
      <c r="D70" s="51">
        <v>40588</v>
      </c>
      <c r="E70" s="46">
        <v>16025.152000000002</v>
      </c>
      <c r="F70" s="67">
        <f t="shared" si="17"/>
        <v>16025.152000000002</v>
      </c>
      <c r="G70" s="46">
        <v>0</v>
      </c>
      <c r="H70" s="46">
        <v>0</v>
      </c>
      <c r="I70" s="46">
        <f t="shared" si="2"/>
        <v>16025.152000000002</v>
      </c>
      <c r="J70" s="54"/>
    </row>
    <row r="71" spans="1:11" x14ac:dyDescent="0.25">
      <c r="A71" t="s">
        <v>159</v>
      </c>
      <c r="B71" s="50" t="s">
        <v>247</v>
      </c>
      <c r="C71" s="50" t="s">
        <v>248</v>
      </c>
      <c r="D71" s="51">
        <v>41061</v>
      </c>
      <c r="E71" s="46">
        <v>16025.152000000002</v>
      </c>
      <c r="F71" s="67">
        <f t="shared" si="17"/>
        <v>16025.152000000002</v>
      </c>
      <c r="G71" s="46">
        <v>0</v>
      </c>
      <c r="H71" s="46">
        <v>0</v>
      </c>
      <c r="I71" s="46">
        <f t="shared" si="2"/>
        <v>16025.152000000002</v>
      </c>
      <c r="J71" s="54"/>
    </row>
    <row r="72" spans="1:11" x14ac:dyDescent="0.25">
      <c r="A72" t="s">
        <v>159</v>
      </c>
      <c r="B72" s="50" t="s">
        <v>249</v>
      </c>
      <c r="C72" s="50" t="s">
        <v>250</v>
      </c>
      <c r="D72" s="51">
        <v>38976</v>
      </c>
      <c r="E72" s="46">
        <v>22058.150400000002</v>
      </c>
      <c r="F72" s="67">
        <f t="shared" si="17"/>
        <v>22058.150400000002</v>
      </c>
      <c r="G72" s="46">
        <v>0</v>
      </c>
      <c r="H72" s="46">
        <v>0</v>
      </c>
      <c r="I72" s="46">
        <f t="shared" si="2"/>
        <v>22058.150400000002</v>
      </c>
      <c r="J72" s="54"/>
    </row>
    <row r="73" spans="1:11" x14ac:dyDescent="0.25">
      <c r="A73" t="s">
        <v>159</v>
      </c>
      <c r="B73" s="50" t="s">
        <v>251</v>
      </c>
      <c r="C73" s="50" t="s">
        <v>252</v>
      </c>
      <c r="D73" s="51">
        <v>40609</v>
      </c>
      <c r="E73" s="46">
        <v>16025.152000000002</v>
      </c>
      <c r="F73" s="67">
        <f t="shared" si="17"/>
        <v>16025.152000000002</v>
      </c>
      <c r="G73" s="46">
        <v>0</v>
      </c>
      <c r="H73" s="46">
        <v>0</v>
      </c>
      <c r="I73" s="46">
        <f t="shared" si="2"/>
        <v>16025.152000000002</v>
      </c>
      <c r="J73" s="54"/>
    </row>
    <row r="74" spans="1:11" x14ac:dyDescent="0.25">
      <c r="A74" t="s">
        <v>159</v>
      </c>
      <c r="B74" s="50" t="s">
        <v>239</v>
      </c>
      <c r="C74" s="50" t="s">
        <v>253</v>
      </c>
      <c r="D74" s="51">
        <v>39773</v>
      </c>
      <c r="E74" s="46">
        <v>17118.632960000003</v>
      </c>
      <c r="F74" s="67">
        <f t="shared" si="17"/>
        <v>17118.632960000003</v>
      </c>
      <c r="G74" s="46">
        <v>0</v>
      </c>
      <c r="H74" s="46">
        <v>0</v>
      </c>
      <c r="I74" s="46">
        <f t="shared" si="2"/>
        <v>17118.632960000003</v>
      </c>
      <c r="J74" s="54"/>
    </row>
    <row r="75" spans="1:11" x14ac:dyDescent="0.25">
      <c r="A75" t="s">
        <v>161</v>
      </c>
      <c r="B75" s="50" t="s">
        <v>254</v>
      </c>
      <c r="C75" s="50" t="s">
        <v>255</v>
      </c>
      <c r="D75" s="51">
        <v>39084</v>
      </c>
      <c r="E75" s="46">
        <v>13871.18304</v>
      </c>
      <c r="F75" s="46">
        <v>0</v>
      </c>
      <c r="G75" s="67">
        <f t="shared" ref="G75:G81" si="18">E75</f>
        <v>13871.18304</v>
      </c>
      <c r="H75" s="46">
        <v>0</v>
      </c>
      <c r="I75" s="46">
        <f t="shared" si="2"/>
        <v>13871.18304</v>
      </c>
      <c r="J75" s="54"/>
    </row>
    <row r="76" spans="1:11" x14ac:dyDescent="0.25">
      <c r="A76" t="s">
        <v>161</v>
      </c>
      <c r="B76" s="50" t="s">
        <v>256</v>
      </c>
      <c r="C76" s="50" t="s">
        <v>257</v>
      </c>
      <c r="D76" s="51">
        <v>39412</v>
      </c>
      <c r="E76" s="46">
        <v>13348.008960000001</v>
      </c>
      <c r="F76" s="46">
        <v>0</v>
      </c>
      <c r="G76" s="67">
        <f t="shared" si="18"/>
        <v>13348.008960000001</v>
      </c>
      <c r="H76" s="46">
        <v>0</v>
      </c>
      <c r="I76" s="46">
        <f t="shared" si="2"/>
        <v>13348.008960000001</v>
      </c>
      <c r="J76" s="54"/>
    </row>
    <row r="77" spans="1:11" x14ac:dyDescent="0.25">
      <c r="A77" t="s">
        <v>162</v>
      </c>
      <c r="B77" s="50" t="s">
        <v>180</v>
      </c>
      <c r="C77" s="50" t="s">
        <v>181</v>
      </c>
      <c r="D77" s="51">
        <v>41004</v>
      </c>
      <c r="E77" s="46">
        <v>16025.152000000002</v>
      </c>
      <c r="F77" s="46">
        <v>0</v>
      </c>
      <c r="G77" s="67">
        <f t="shared" si="18"/>
        <v>16025.152000000002</v>
      </c>
      <c r="H77" s="46">
        <v>0</v>
      </c>
      <c r="I77" s="46">
        <f t="shared" si="2"/>
        <v>16025.152000000002</v>
      </c>
      <c r="J77" s="54"/>
    </row>
    <row r="78" spans="1:11" x14ac:dyDescent="0.25">
      <c r="A78" t="s">
        <v>162</v>
      </c>
      <c r="B78" s="50" t="s">
        <v>258</v>
      </c>
      <c r="C78" s="50" t="s">
        <v>259</v>
      </c>
      <c r="D78" s="51">
        <v>41061</v>
      </c>
      <c r="E78" s="46">
        <v>16025.152000000002</v>
      </c>
      <c r="F78" s="46">
        <v>0</v>
      </c>
      <c r="G78" s="67">
        <f t="shared" si="18"/>
        <v>16025.152000000002</v>
      </c>
      <c r="H78" s="46">
        <v>0</v>
      </c>
      <c r="I78" s="46">
        <f t="shared" si="2"/>
        <v>16025.152000000002</v>
      </c>
      <c r="J78" s="54"/>
    </row>
    <row r="79" spans="1:11" x14ac:dyDescent="0.25">
      <c r="A79" t="s">
        <v>163</v>
      </c>
      <c r="B79" s="50" t="s">
        <v>260</v>
      </c>
      <c r="C79" s="50" t="s">
        <v>261</v>
      </c>
      <c r="D79" s="51">
        <v>39164</v>
      </c>
      <c r="E79" s="46">
        <v>16326.801920000002</v>
      </c>
      <c r="F79" s="46">
        <v>0</v>
      </c>
      <c r="G79" s="67">
        <f t="shared" si="18"/>
        <v>16326.801920000002</v>
      </c>
      <c r="H79" s="46">
        <v>0</v>
      </c>
      <c r="I79" s="46">
        <f t="shared" si="2"/>
        <v>16326.801920000002</v>
      </c>
      <c r="J79" s="54"/>
    </row>
    <row r="80" spans="1:11" x14ac:dyDescent="0.25">
      <c r="A80" t="s">
        <v>163</v>
      </c>
      <c r="B80" s="50" t="s">
        <v>262</v>
      </c>
      <c r="C80" s="50" t="s">
        <v>263</v>
      </c>
      <c r="D80" s="51">
        <v>39525</v>
      </c>
      <c r="E80" s="46">
        <v>15704.648960000002</v>
      </c>
      <c r="F80" s="46">
        <v>0</v>
      </c>
      <c r="G80" s="67">
        <f t="shared" si="18"/>
        <v>15704.648960000002</v>
      </c>
      <c r="H80" s="46">
        <v>0</v>
      </c>
      <c r="I80" s="46">
        <f t="shared" si="2"/>
        <v>15704.648960000002</v>
      </c>
      <c r="J80" s="54"/>
    </row>
    <row r="81" spans="1:11" x14ac:dyDescent="0.25">
      <c r="A81" t="s">
        <v>163</v>
      </c>
      <c r="B81" s="50" t="s">
        <v>264</v>
      </c>
      <c r="C81" s="50" t="s">
        <v>265</v>
      </c>
      <c r="D81" s="51">
        <v>38838</v>
      </c>
      <c r="E81" s="46">
        <v>19343.30112</v>
      </c>
      <c r="F81" s="46">
        <v>0</v>
      </c>
      <c r="G81" s="67">
        <f t="shared" si="18"/>
        <v>19343.30112</v>
      </c>
      <c r="H81" s="46">
        <v>0</v>
      </c>
      <c r="I81" s="46">
        <f t="shared" si="2"/>
        <v>19343.30112</v>
      </c>
      <c r="J81" s="54"/>
    </row>
    <row r="82" spans="1:11" x14ac:dyDescent="0.25">
      <c r="D82" s="59" t="s">
        <v>280</v>
      </c>
      <c r="E82" s="62">
        <f>SUM(E45:E81)</f>
        <v>600000.54359999998</v>
      </c>
      <c r="F82" s="62">
        <f t="shared" ref="F82:I82" si="19">SUM(F45:F81)</f>
        <v>477337.43160000001</v>
      </c>
      <c r="G82" s="62">
        <f t="shared" si="19"/>
        <v>122663.10800000001</v>
      </c>
      <c r="H82" s="62">
        <f t="shared" si="19"/>
        <v>0</v>
      </c>
      <c r="I82" s="62">
        <f t="shared" si="19"/>
        <v>600000.5395999999</v>
      </c>
    </row>
    <row r="83" spans="1:11" x14ac:dyDescent="0.25">
      <c r="E83" s="46"/>
      <c r="F83" s="46"/>
      <c r="G83" s="46"/>
      <c r="H83" s="46"/>
      <c r="I83" s="46"/>
    </row>
    <row r="84" spans="1:11" x14ac:dyDescent="0.25">
      <c r="E84" s="46"/>
      <c r="F84" s="46"/>
      <c r="G84" s="46"/>
      <c r="H84" s="46"/>
      <c r="I84" s="46"/>
    </row>
    <row r="85" spans="1:11" x14ac:dyDescent="0.25">
      <c r="B85" s="61"/>
      <c r="C85" s="61"/>
      <c r="D85" s="60" t="s">
        <v>269</v>
      </c>
      <c r="E85" s="62">
        <f>E82+E42+E36+E32+E28+E23+E19+E11</f>
        <v>1006246.630672</v>
      </c>
      <c r="F85" s="62">
        <f t="shared" ref="F85:I85" si="20">F82+F42+F36+F32+F28+F23+F19+F11</f>
        <v>724976.672976</v>
      </c>
      <c r="G85" s="62">
        <f t="shared" si="20"/>
        <v>250269.97489600003</v>
      </c>
      <c r="H85" s="62">
        <f t="shared" si="20"/>
        <v>30999.973800000003</v>
      </c>
      <c r="I85" s="62">
        <f t="shared" si="20"/>
        <v>1006246.621672</v>
      </c>
      <c r="K85" s="62">
        <f>SUM(K5:K84)</f>
        <v>155106.72883199999</v>
      </c>
    </row>
    <row r="86" spans="1:11" x14ac:dyDescent="0.25">
      <c r="E86" s="46"/>
      <c r="F86" s="46"/>
      <c r="G86" s="46"/>
      <c r="H86" s="46"/>
      <c r="I86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Urban</vt:lpstr>
      <vt:lpstr>Rural</vt:lpstr>
      <vt:lpstr>Regional Planning</vt:lpstr>
      <vt:lpstr>Staffing</vt:lpstr>
      <vt:lpstr>Rural!Print_Area</vt:lpstr>
      <vt:lpstr>Rural!Print_Titles</vt:lpstr>
      <vt:lpstr>Urban!Print_Titles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Sean Scott</cp:lastModifiedBy>
  <cp:lastPrinted>2012-10-29T19:29:19Z</cp:lastPrinted>
  <dcterms:created xsi:type="dcterms:W3CDTF">2012-08-10T00:06:32Z</dcterms:created>
  <dcterms:modified xsi:type="dcterms:W3CDTF">2012-10-29T19:29:49Z</dcterms:modified>
</cp:coreProperties>
</file>